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7.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2020" sheetId="1" r:id="rId4"/>
    <sheet state="visible" name="2025" sheetId="2" r:id="rId5"/>
    <sheet state="hidden" name="2019" sheetId="3" r:id="rId6"/>
    <sheet state="hidden" name="2018" sheetId="4" r:id="rId7"/>
    <sheet state="hidden" name="2017" sheetId="5" r:id="rId8"/>
    <sheet state="hidden" name="2016" sheetId="6" r:id="rId9"/>
    <sheet state="hidden" name="2015" sheetId="7" r:id="rId10"/>
    <sheet state="hidden" name="2014" sheetId="8" r:id="rId11"/>
    <sheet state="hidden" name="2013" sheetId="9" r:id="rId12"/>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I158">
      <text>
        <t xml:space="preserve">50% of TIP victims-survivor served are reintegrated in the community/family.
	-DSWD</t>
      </text>
    </comment>
    <comment authorId="0" ref="J269">
      <text>
        <t xml:space="preserve">OPC FY 2022, GAD AR, CY 2021, Sectoral, AR CY 2020, HPMES CY 2021 Accomplishment Report, HPMES CY, 2021 Assessment Report
	-DSWD</t>
      </text>
    </comment>
    <comment authorId="0" ref="E162">
      <text>
        <t xml:space="preserve">Adults(18 above): 3
Children (below 18): 9
	-DSWD</t>
      </text>
    </comment>
    <comment authorId="0" ref="G158">
      <text>
        <t xml:space="preserve">50% of TIP victims-survivor served are reintegrated in the community/family.
	-DSWD</t>
      </text>
    </comment>
    <comment authorId="0" ref="F158">
      <text>
        <t xml:space="preserve">50% of TIP victims-survivor served are reintegrated in the community/family.
	-DSWD</t>
      </text>
    </comment>
    <comment authorId="0" ref="J303">
      <text>
        <t xml:space="preserve">No.  of Information Systems Deployed and Maintained - 8
	-DSWD</t>
      </text>
    </comment>
    <comment authorId="0" ref="H158">
      <text>
        <t xml:space="preserve">50% of TIP victims-survivor served are reintegrated in the community/family.
	-DSWD</t>
      </text>
    </comment>
    <comment authorId="0" ref="E158">
      <text>
        <t xml:space="preserve">50% of TIP victims-survivor served are reintegrated in the community/family.
	-DSWD</t>
      </text>
    </comment>
    <comment authorId="0" ref="J25">
      <text>
        <t xml:space="preserve">P6 Result
	-Squishy</t>
      </text>
    </comment>
    <comment authorId="0" ref="J26">
      <text>
        <t xml:space="preserve">P6 Result
	-Squishy</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R39">
      <text>
        <t xml:space="preserve">2017 TARGET for continuing implementation this year
	-Squishy</t>
      </text>
    </comment>
    <comment authorId="0" ref="R37">
      <text>
        <t xml:space="preserve">2018 TARGET
	-Squishy</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G512">
      <text>
        <t xml:space="preserve">Assessed/Endorsed  for Accredited SWAs
	-acer</t>
      </text>
    </comment>
    <comment authorId="0" ref="B243">
      <text>
        <t xml:space="preserve">Define ineligible clients in the context of Community-Based Services
	-acer</t>
      </text>
    </comment>
    <comment authorId="0" ref="G520">
      <text>
        <t xml:space="preserve">ECCD Service
	-acer</t>
      </text>
    </comment>
    <comment authorId="0" ref="G506">
      <text>
        <t xml:space="preserve">Registered Social Welfare and Development Agencies (SWDAs)
	-acer</t>
      </text>
    </comment>
    <comment authorId="0" ref="G523">
      <text>
        <t xml:space="preserve">Solicitation Permit Assessed/Issued
	-acer</t>
      </text>
    </comment>
    <comment authorId="0" ref="G509">
      <text>
        <t xml:space="preserve">Licensed Social Welfare Agencies (SWAs)
	-acer</t>
      </text>
    </comment>
    <comment authorId="0" ref="G529">
      <text>
        <t xml:space="preserve">Duty Free Request Endorsed
	-acer</t>
      </text>
    </comment>
    <comment authorId="0" ref="B242">
      <text>
        <t xml:space="preserve">Ineligible - clients refuse by the social worker due to documents or requirements presented or validated thru CRIMS; Recommendations and Referrals from politicians
	-acer</t>
      </text>
    </comment>
    <comment authorId="0" ref="T408">
      <text>
        <t xml:space="preserve">No grants released for MCCT due to incorrect NAPA generation by the UFMS.
	-DSWD</t>
      </text>
    </comment>
  </commentLi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G521">
      <text>
        <t xml:space="preserve">Solicitation Permit Assessed/Issued
	-acer</t>
      </text>
    </comment>
    <comment authorId="0" ref="G507">
      <text>
        <t xml:space="preserve">Licensed Social Welfare Agencies (SWAs)
	-acer</t>
      </text>
    </comment>
    <comment authorId="0" ref="B241">
      <text>
        <t xml:space="preserve">Define ineligible clients in the context of Community-Based Services
	-acer</t>
      </text>
    </comment>
    <comment authorId="0" ref="G504">
      <text>
        <t xml:space="preserve">Registered Social Welfare and Development Agencies (SWDAs)
	-acer</t>
      </text>
    </comment>
    <comment authorId="0" ref="G527">
      <text>
        <t xml:space="preserve">Duty Free Request Endorsed
	-acer</t>
      </text>
    </comment>
    <comment authorId="0" ref="B240">
      <text>
        <t xml:space="preserve">Ineligible - clients refuse by the social worker due to documents or requirements presented or validated thru CRIMS; Recommendations and Referrals from politicians
	-acer</t>
      </text>
    </comment>
    <comment authorId="0" ref="G518">
      <text>
        <t xml:space="preserve">ECCD Service
	-acer</t>
      </text>
    </comment>
    <comment authorId="0" ref="G510">
      <text>
        <t xml:space="preserve">Assessed/Endorsed  for Accredited SWAs
	-acer</t>
      </text>
    </comment>
  </commentList>
</comments>
</file>

<file path=xl/comments5.xml><?xml version="1.0" encoding="utf-8"?>
<comments xmlns:r="http://schemas.openxmlformats.org/officeDocument/2006/relationships" xmlns="http://schemas.openxmlformats.org/spreadsheetml/2006/main" xmlns:xr="http://schemas.microsoft.com/office/spreadsheetml/2014/revision">
  <authors>
    <author/>
  </authors>
  <commentList>
    <comment authorId="0" ref="B237">
      <text>
        <t xml:space="preserve">Ineligible - clients refuse by the social worker due to documents or requirements presented or validated thru CRIMS; Recommendations and Referrals from politicians
	-acer</t>
      </text>
    </comment>
    <comment authorId="0" ref="G515">
      <text>
        <t xml:space="preserve">ECCD Service
	-acer</t>
      </text>
    </comment>
    <comment authorId="0" ref="G524">
      <text>
        <t xml:space="preserve">Duty Free Request Endorsed
	-acer</t>
      </text>
    </comment>
    <comment authorId="0" ref="G518">
      <text>
        <t xml:space="preserve">Solicitation Permit Assessed/Issued
	-acer</t>
      </text>
    </comment>
    <comment authorId="0" ref="G504">
      <text>
        <t xml:space="preserve">Licensed Social Welfare Agencies (SWAs)
	-acer</t>
      </text>
    </comment>
    <comment authorId="0" ref="G507">
      <text>
        <t xml:space="preserve">Assessed/Endorsed  for Accredited SWAs
	-acer</t>
      </text>
    </comment>
    <comment authorId="0" ref="G501">
      <text>
        <t xml:space="preserve">Registered Social Welfare and Development Agencies (SWDAs)
	-acer</t>
      </text>
    </comment>
    <comment authorId="0" ref="B238">
      <text>
        <t xml:space="preserve">Define ineligible clients in the context of Community-Based Services
	-acer</t>
      </text>
    </comment>
  </commentList>
</comments>
</file>

<file path=xl/comments6.xml><?xml version="1.0" encoding="utf-8"?>
<comments xmlns:r="http://schemas.openxmlformats.org/officeDocument/2006/relationships" xmlns="http://schemas.openxmlformats.org/spreadsheetml/2006/main" xmlns:xr="http://schemas.microsoft.com/office/spreadsheetml/2014/revision">
  <authors>
    <author/>
  </authors>
  <commentList>
    <comment authorId="0" ref="G517">
      <text>
        <t xml:space="preserve">Registered Social Welfare and Development Agencies (SWDAs)
	-acer</t>
      </text>
    </comment>
    <comment authorId="0" ref="G540">
      <text>
        <t xml:space="preserve">Duty Free Request Endorsed
	-acer</t>
      </text>
    </comment>
    <comment authorId="0" ref="B238">
      <text>
        <t xml:space="preserve">Define ineligible clients in the context of Community-Based Services
	-acer</t>
      </text>
    </comment>
    <comment authorId="0" ref="G520">
      <text>
        <t xml:space="preserve">Licensed Social Welfare Agencies (SWAs)
	-acer</t>
      </text>
    </comment>
    <comment authorId="0" ref="B237">
      <text>
        <t xml:space="preserve">Ineligible - clients refuse by the social worker due to documents or requirements presented or validated thru CRIMS; Recommendations and Referrals from politicians
	-acer</t>
      </text>
    </comment>
    <comment authorId="0" ref="G523">
      <text>
        <t xml:space="preserve">Assessed/Endorsed  for Accredited SWAs
	-acer</t>
      </text>
    </comment>
    <comment authorId="0" ref="G531">
      <text>
        <t xml:space="preserve">ECCD Service
	-acer</t>
      </text>
    </comment>
    <comment authorId="0" ref="G534">
      <text>
        <t xml:space="preserve">Solicitation Permit Assessed/Issued
	-acer</t>
      </text>
    </comment>
  </commentList>
</comments>
</file>

<file path=xl/comments7.xml><?xml version="1.0" encoding="utf-8"?>
<comments xmlns:r="http://schemas.openxmlformats.org/officeDocument/2006/relationships" xmlns="http://schemas.openxmlformats.org/spreadsheetml/2006/main" xmlns:xr="http://schemas.microsoft.com/office/spreadsheetml/2014/revision">
  <authors>
    <author/>
  </authors>
  <commentList>
    <comment authorId="0" ref="G523">
      <text>
        <t xml:space="preserve">Assessed/Endorsed  for Accredited SWAs
	-acer</t>
      </text>
    </comment>
    <comment authorId="0" ref="G520">
      <text>
        <t xml:space="preserve">Licensed Social Welfare Agencies (SWAs)
	-acer</t>
      </text>
    </comment>
    <comment authorId="0" ref="G517">
      <text>
        <t xml:space="preserve">Registered Social Welfare and Development Agencies (SWDAs)
	-acer</t>
      </text>
    </comment>
    <comment authorId="0" ref="G540">
      <text>
        <t xml:space="preserve">Duty Free Request Endorsed
	-acer</t>
      </text>
    </comment>
    <comment authorId="0" ref="G534">
      <text>
        <t xml:space="preserve">Solicitation Permit Assessed/Issued
	-acer</t>
      </text>
    </comment>
    <comment authorId="0" ref="G531">
      <text>
        <t xml:space="preserve">ECCD Service
	-acer</t>
      </text>
    </comment>
  </commentList>
</comments>
</file>

<file path=xl/sharedStrings.xml><?xml version="1.0" encoding="utf-8"?>
<sst xmlns="http://schemas.openxmlformats.org/spreadsheetml/2006/main" count="6008" uniqueCount="1693">
  <si>
    <t>BAR No. 1</t>
  </si>
  <si>
    <t>QUARTERLY PHYSICAL REPORT OF OPERATION</t>
  </si>
  <si>
    <t>As of December 31, 2020</t>
  </si>
  <si>
    <t>Department</t>
  </si>
  <si>
    <t>:</t>
  </si>
  <si>
    <t>DSWD 10</t>
  </si>
  <si>
    <t>Current Year Appropriations</t>
  </si>
  <si>
    <t>Agency</t>
  </si>
  <si>
    <t>Supplemental Appropriations</t>
  </si>
  <si>
    <t>Operating Unit</t>
  </si>
  <si>
    <t>Continuing Appropriations</t>
  </si>
  <si>
    <t>Organization Code (UACS)</t>
  </si>
  <si>
    <t>Off-Budget Account</t>
  </si>
  <si>
    <t>Particulars</t>
  </si>
  <si>
    <t>UACS CODE</t>
  </si>
  <si>
    <t>Physical Targets</t>
  </si>
  <si>
    <t>Physical Accomplishments</t>
  </si>
  <si>
    <t>Variance as of December 31, 2020</t>
  </si>
  <si>
    <t>Remarks</t>
  </si>
  <si>
    <t>1st Quarter</t>
  </si>
  <si>
    <t>2nd Quarter</t>
  </si>
  <si>
    <t>3rd Quarter</t>
  </si>
  <si>
    <t>4th Quarter</t>
  </si>
  <si>
    <t>Total</t>
  </si>
  <si>
    <t>7=(3+4+5+6)</t>
  </si>
  <si>
    <t>12=(8+9+10+11)</t>
  </si>
  <si>
    <t>ORGANIZATIONAL OUTCOME 1: WELLBEING OF POOR FAMILIES IMPROVED</t>
  </si>
  <si>
    <t>Promotive Social Welfare Program</t>
  </si>
  <si>
    <t>Outcome Indicators</t>
  </si>
  <si>
    <t>Percentage of Pantawid households with improved wellbeing:</t>
  </si>
  <si>
    <t xml:space="preserve">As of latest update on SWDI dated November 30, 2020, a total of 226,481 forms were already encoded or 90.63% of the target. Status of well-being were also generated, as of this reporting period,  majority of the households was already at Subsistence level (Level 2) with 157,943 or 69.74% of the total households administered with SWDI. On the other hand, there were 67,822 households or 29.95% who are considered self – sufficient (Level 3). Only 556 households or 0.25% who are still considered at Survival level (Level 1) and there are 152 households that need to be identified further as to their status of well-being. </t>
  </si>
  <si>
    <t>a. 1. Survival in Previous Year</t>
  </si>
  <si>
    <t>a.2. Survival to Subsistence</t>
  </si>
  <si>
    <t>b.1. Subsistence in Previous Year</t>
  </si>
  <si>
    <t>b.2. Subsistence to Self-Sufficiency</t>
  </si>
  <si>
    <t>c.1. Survival in Previous Year</t>
  </si>
  <si>
    <t>c.2. Survival to Self-Sufficiency</t>
  </si>
  <si>
    <t>Percentage compliance of Pantawid Pamilya households on school enrolment of children</t>
  </si>
  <si>
    <t>Monitoring of compliance especially in education is deferred due to the current pandemic.</t>
  </si>
  <si>
    <t>Percentage of Pantawid Pamilya children not attending school that returned to school</t>
  </si>
  <si>
    <t xml:space="preserve">Per Memo from NPMO, this indicator will be removed from OPC due to COVID 19 related reasons. </t>
  </si>
  <si>
    <t>Percentage compliance of Pantawid Pamilya households on availment of health services</t>
  </si>
  <si>
    <t xml:space="preserve">Monitoring of compliance for health recommenced during Period 4 (August – September). Health compliance has a total percentage of 85.10% on monitored vs eligible. This means that 1,768 or 14.90% are non-compliant to health condition. </t>
  </si>
  <si>
    <t>Percentage of Pantawid Pamilya households not availing key health services that availed key health services</t>
  </si>
  <si>
    <t>Percentage of SLP households earning from microenterprises</t>
  </si>
  <si>
    <t>Majority of the served EF participants are already unemployed. Reason varies from completed employment, contract ended and resignation.</t>
  </si>
  <si>
    <t>Percentage of SLP households gainfully employed</t>
  </si>
  <si>
    <t>Percentage of households that report better access to services</t>
  </si>
  <si>
    <t>Outcome survey is on the NPMO level as per KC-NCDDP M&amp;E Focal person</t>
  </si>
  <si>
    <t>Output Indicators</t>
  </si>
  <si>
    <t>Number of Pantawid households provided with conditional cash grants:</t>
  </si>
  <si>
    <t>a. Regular CCT</t>
  </si>
  <si>
    <t xml:space="preserve">                      a.1 Period 5 (Oct-Nov 2019)</t>
  </si>
  <si>
    <t xml:space="preserve">                      a.2 Period 6 (Dec 2019-Jan 2020)</t>
  </si>
  <si>
    <t xml:space="preserve">                      a.3 Period 1 (Feb-March 2020)</t>
  </si>
  <si>
    <t xml:space="preserve">                      a.4 Period 2 (April-May 2020)</t>
  </si>
  <si>
    <t xml:space="preserve">                      a.4 Period 3 (June-July 2020)</t>
  </si>
  <si>
    <t xml:space="preserve">                      a.4 Period 4 (August-September 2020)</t>
  </si>
  <si>
    <t>b. Modified CCT</t>
  </si>
  <si>
    <t>Percentage of Pantawid Pamilya-related grievances resolved within established time protocol</t>
  </si>
  <si>
    <t>Number of SLP households assisted through the Microenterprise Development  and Employment Facilitation Tracks</t>
  </si>
  <si>
    <t>Physical accomplishments was more than the target because the livelihood projects proposed by the respective beneficiaries and LGUs are below the maximum ceiling of Php 15,000.00 per eligible beneficiary. There is an increase in the physical target for LAG for the fourth quarter due to the downloading of additional funds under Bayanihan 2.</t>
  </si>
  <si>
    <t>a. SLP Regular Implementation</t>
  </si>
  <si>
    <t>b. SLP SAP - Livelihood Assistance Grants</t>
  </si>
  <si>
    <t>Number of communities implementing KC-NCDDP:</t>
  </si>
  <si>
    <t>a. Region</t>
  </si>
  <si>
    <t>b. Province</t>
  </si>
  <si>
    <t>c. Municipality</t>
  </si>
  <si>
    <t>d. Barangay</t>
  </si>
  <si>
    <t>Number of KC-NCDDP sub-projects completed in accordance with technical plans and schedule</t>
  </si>
  <si>
    <t>NCDDP Cycle 4</t>
  </si>
  <si>
    <t>For NCDDP-4 2019, 100% of the funds have already been released to community accounts and 100% of the grants released have been fully utilized and liquidated. All accounts under this cycle are already closed.</t>
  </si>
  <si>
    <t>NCDDP DROP 2020</t>
  </si>
  <si>
    <t>Completion will run until first week of January 2021</t>
  </si>
  <si>
    <t>Construction of Classroom for Lumads (CCL)</t>
  </si>
  <si>
    <t>IP-CDD</t>
  </si>
  <si>
    <t>Accomplishment for IP-CDD Batch 1 Cycle 2 and Batch 2 Cycle 1 only</t>
  </si>
  <si>
    <t>Makilahok</t>
  </si>
  <si>
    <t>MAKILAHOK have completed the remaining SPs spillover from 2019 as a result the modality has achieved 100% physical accomplishments.</t>
  </si>
  <si>
    <t>Number of households that benefitted from completed KC-NCDDP sub-projects or
Households benefitting from sub-projects</t>
  </si>
  <si>
    <t>Percentage of completed KC-NCDDP projects that have satisfactory or better sustainability evaluation rating</t>
  </si>
  <si>
    <t>Percentage of women volunteers trained on CDD</t>
  </si>
  <si>
    <t>Percentage of paid labor jobs created by KC-NCDDP projects are accessed by women</t>
  </si>
  <si>
    <t>Percentage of registered KC-NCDDP grievances satisfactorily resolved in line with the GRS</t>
  </si>
  <si>
    <t>ORGANIZATIONAL OUTCOME 2: RIGHTS OF THE POOR AND THE VULNERABLE SECTORS PROMOTED AND PROTECTED</t>
  </si>
  <si>
    <t>Protective Social Welfare Program</t>
  </si>
  <si>
    <t>Residential and Non-Residential Care Sub-Program</t>
  </si>
  <si>
    <t>Outcome Indicator</t>
  </si>
  <si>
    <t>Percentage of clients in residential and non-residential care facilities rehabilitated:</t>
  </si>
  <si>
    <t>Number of clients served in residential care facilities</t>
  </si>
  <si>
    <t>a.     RSCC</t>
  </si>
  <si>
    <t>b.     RRCY</t>
  </si>
  <si>
    <t>c.     Home for Girls</t>
  </si>
  <si>
    <t>d.     Haven for Women</t>
  </si>
  <si>
    <t>ALOS of clients in residential facilities</t>
  </si>
  <si>
    <t>A. Discharged-based ALOS</t>
  </si>
  <si>
    <t xml:space="preserve">    a.1     RSCC</t>
  </si>
  <si>
    <t xml:space="preserve">    a.2     RRCY</t>
  </si>
  <si>
    <t xml:space="preserve">    a.3     Home for Girls</t>
  </si>
  <si>
    <t xml:space="preserve">    a.4     Haven for Women</t>
  </si>
  <si>
    <t>B. Admission-based ALOS</t>
  </si>
  <si>
    <t xml:space="preserve">    b.1     RSCC</t>
  </si>
  <si>
    <t xml:space="preserve">    b.2     RRCY</t>
  </si>
  <si>
    <t xml:space="preserve">    b.3     Home for Girls</t>
  </si>
  <si>
    <t xml:space="preserve">    b.4     Haven for Women</t>
  </si>
  <si>
    <t>Percentage of facilities with standard client-staff ratio</t>
  </si>
  <si>
    <t xml:space="preserve">Percentage of facilities compliant with the National Building Code </t>
  </si>
  <si>
    <t>100%
(4/4)</t>
  </si>
  <si>
    <t>Supplementary Feeding Sub-Program</t>
  </si>
  <si>
    <t>Percentage of malnourished children in CDCs and SNPs with improved nutritional status:</t>
  </si>
  <si>
    <t>9th Cycle Implementation</t>
  </si>
  <si>
    <t>a. Severely underweight to Underweight</t>
  </si>
  <si>
    <t>b. Underweight to Normal</t>
  </si>
  <si>
    <t>Percentage of children in CDCs and SNPs with sustained normal nutritional status (over total children served)</t>
  </si>
  <si>
    <t>Annual target</t>
  </si>
  <si>
    <t>Output Indicator</t>
  </si>
  <si>
    <t>Number of children in CDCs and SNPs provided with supplementary feeding</t>
  </si>
  <si>
    <t xml:space="preserve">        a. 9th Cycle Implementation</t>
  </si>
  <si>
    <t xml:space="preserve">        b. 10th Cycle Implementation</t>
  </si>
  <si>
    <t>Social Welfare for Senior Citizens Sub-Program</t>
  </si>
  <si>
    <t>Percentage of beneficiaries using social pension to augment daily living subsistence and medical needs</t>
  </si>
  <si>
    <t>Still no directives from NPMO on how to measure this indicator</t>
  </si>
  <si>
    <t>Number of senior citizens who received social pension within the quarter</t>
  </si>
  <si>
    <t>Figure in Total is average of the two (2) semesters.
Variance is for unpaid beneficiaries.</t>
  </si>
  <si>
    <t>Number of centenarians provided with cash gift</t>
  </si>
  <si>
    <t>Protective Programs to Individuals and Families in Especially Difficult Circumstances Sub-Program</t>
  </si>
  <si>
    <t>Percentage of clients who rated protective services provided as satisfactory or better (AICS)</t>
  </si>
  <si>
    <t>Percentage of clients who rated protective services provided as satisfactory or better 
(Minors Travelling Abroad)</t>
  </si>
  <si>
    <t>100%
(5/5)</t>
  </si>
  <si>
    <t>Only five (5) MTA clients were able to fill-up the Client Satisfaction Survey provided from  start of the year. One (1) client rated with "nasiyahan" and four (4) clients rated with "lubos na nasiyahan".</t>
  </si>
  <si>
    <t>Number of beneficiaries served through AICS:</t>
  </si>
  <si>
    <t>ANA</t>
  </si>
  <si>
    <t>Type of Assistance</t>
  </si>
  <si>
    <t>a. Medical Assistance</t>
  </si>
  <si>
    <t>b. Burial Assistance</t>
  </si>
  <si>
    <t>c. Educational Assistance</t>
  </si>
  <si>
    <t>d.  Transportation Assistance</t>
  </si>
  <si>
    <t>e.  Food Assistance</t>
  </si>
  <si>
    <t>e.  Non-Food Assistance</t>
  </si>
  <si>
    <t>f.  Non-Food  Assistance</t>
  </si>
  <si>
    <t>g. Other Cash Assistance</t>
  </si>
  <si>
    <t>h. Psychosocial</t>
  </si>
  <si>
    <t>i. Referral</t>
  </si>
  <si>
    <t>Client Category</t>
  </si>
  <si>
    <t>Family Head and Other Needy Adult (FHONA)</t>
  </si>
  <si>
    <t>Women in Especially Difficult Circumstances (WEDC)</t>
  </si>
  <si>
    <t>Children in Need of Special Protection (CNSP)</t>
  </si>
  <si>
    <t>Youth in Need of Special Protection (YNSP)</t>
  </si>
  <si>
    <t>Senior Citizen (SC)</t>
  </si>
  <si>
    <t>Persons With Disability (PWD)</t>
  </si>
  <si>
    <t>Persons Living with HIV-AIDS (PLHIV)</t>
  </si>
  <si>
    <t xml:space="preserve"> Unconditional Cash Transfer Program (UCT)</t>
  </si>
  <si>
    <t>Number of poor beneficiaries covered by Unconditional Cash Transfer (UCT) grants</t>
  </si>
  <si>
    <t>a. 2018 Beneficiaries</t>
  </si>
  <si>
    <t>b. 2019 Beneficiaries</t>
  </si>
  <si>
    <t>Assistance to Communities in Need (ACN)</t>
  </si>
  <si>
    <t xml:space="preserve">Construction/ Repair of Day Care Center and Senior Citizen Center through  Assistance to Communities in Need </t>
  </si>
  <si>
    <t xml:space="preserve">Number of subprojects completed </t>
  </si>
  <si>
    <t>Ongoing construction of  one (1) subproject and  two (2) subprojects is still under accounts payable.</t>
  </si>
  <si>
    <t>Number of beneficiaries served through ACN</t>
  </si>
  <si>
    <t>Children</t>
  </si>
  <si>
    <t>Senior Citizens</t>
  </si>
  <si>
    <t>Number of clients served through community-based services</t>
  </si>
  <si>
    <t>a.   Women</t>
  </si>
  <si>
    <t>b.  Children</t>
  </si>
  <si>
    <t>c.  Youth</t>
  </si>
  <si>
    <t>d.  PWDs</t>
  </si>
  <si>
    <t>Number of clients served through the Comprehensive Program for Street Children, Street Families and Badjaus</t>
  </si>
  <si>
    <t>Not applicable to Region 10</t>
  </si>
  <si>
    <t>a.     Children</t>
  </si>
  <si>
    <t>a.1 Street children</t>
  </si>
  <si>
    <t>a.2 Badjau children</t>
  </si>
  <si>
    <t>b.    Families</t>
  </si>
  <si>
    <t>b.1 Street families</t>
  </si>
  <si>
    <t>b.2 Badjau families</t>
  </si>
  <si>
    <t>Number of minors traveling abroad issued with travel clearance</t>
  </si>
  <si>
    <t>Number of children served through Alternative Family Care Program</t>
  </si>
  <si>
    <t>3.1 Number of Children Placed Out for Domestic Adoption Issued with CDCCLAA</t>
  </si>
  <si>
    <t>Target was changed to be consistent with the harmonized  OPCR.</t>
  </si>
  <si>
    <t>3.1 Number of Children Placed Out for Domestic Adoption Issued with PAPA/ACA</t>
  </si>
  <si>
    <t>3.2 Children Placed Out for Foster Care</t>
  </si>
  <si>
    <t>3.3 Children Endorsed for Inter-country Adoption</t>
  </si>
  <si>
    <t>Social Welfare for Distressed Overseas Filipinos and Trafficked Persons Sub-Program</t>
  </si>
  <si>
    <t>Percentage of assisted individuals who are reintegrated to their families and communities</t>
  </si>
  <si>
    <t>a.     Trafficked Persons</t>
  </si>
  <si>
    <t>b. Distressed Overseas and Undocumented Filipinos</t>
  </si>
  <si>
    <t>Number of trafficked persons provided with social welfare services</t>
  </si>
  <si>
    <t>a. Adults</t>
  </si>
  <si>
    <t>e.  Senior Citizens</t>
  </si>
  <si>
    <t>Number of distressed and undocumented overseas Filipinos provided with social welfare services</t>
  </si>
  <si>
    <t>MALAYSIA</t>
  </si>
  <si>
    <t>JEDDAH,KSA</t>
  </si>
  <si>
    <t>RIYADH,KSA</t>
  </si>
  <si>
    <t>QATAR</t>
  </si>
  <si>
    <t>HONG KONG</t>
  </si>
  <si>
    <t>DUBAI,UAE</t>
  </si>
  <si>
    <t>KUWAIT</t>
  </si>
  <si>
    <t>OTHER COUNTRIES</t>
  </si>
  <si>
    <t>OFWs FAMILY MEMBER IN PHILIPPINES</t>
  </si>
  <si>
    <t>ORGANIZATIONAL OUTCOME 3: IMMEDIATE RELIEF AND EARLY RECOVERY OF DISASTER VICTIMS/SURVIVORS ENSURED</t>
  </si>
  <si>
    <t>Disaster Response and Management Program</t>
  </si>
  <si>
    <t>Percentage of disaster-affected households assisted to early recovery stage</t>
  </si>
  <si>
    <t>Number of DSWD QRTs trained for deployment on disaster response</t>
  </si>
  <si>
    <t>Number of LGUs with prepositioned relief goods</t>
  </si>
  <si>
    <t>The FO utilized the AFP headquarters as temporary warehouses in five provinces of the region.</t>
  </si>
  <si>
    <t>Number of poor households that received cash-for-work for CCAM</t>
  </si>
  <si>
    <t>Number of LGUs provided with augmention on disaster response services</t>
  </si>
  <si>
    <t>Provided augmentation support to different LGUs in Region 10 and DSWD Caraga. There were LGUs provided with augmentation from two (2) or more quarters.</t>
  </si>
  <si>
    <t>Number of internally-displaced households provided with disaster response services</t>
  </si>
  <si>
    <t>These internally displaced households were affected with different types of incidents: armed conflict, Typhoon Quinta, fire incidents, demolition, whirlwind incidents.</t>
  </si>
  <si>
    <t>Number of households with damaged houses provided with early recovery services:</t>
  </si>
  <si>
    <t>No request from LGUs</t>
  </si>
  <si>
    <t>a. ESA</t>
  </si>
  <si>
    <t>b. CFW</t>
  </si>
  <si>
    <t>c. FFW</t>
  </si>
  <si>
    <t>ORGANIZATIONAL OUTCOME 4: CONTINUING COMPLIANCE OF SOCIAL WELFARE AND DEVELOPMENT AGENCIES TO STANDARDS IN THE DELIVERY OF SOCIAL WELFARE SERVICES ENSURED</t>
  </si>
  <si>
    <t>Social Welfare and Development Agencies Regulatory Program</t>
  </si>
  <si>
    <t>Percentage of SWAs, SWDAs and service providers with sustained compliance to social welfare and development standards</t>
  </si>
  <si>
    <t>a.  Registered and Licensed SWAs</t>
  </si>
  <si>
    <t>b.  Accredited SWDAs</t>
  </si>
  <si>
    <t>b.1 Level 1 Accreditation</t>
  </si>
  <si>
    <t>b.2 Level 2 Accreditation</t>
  </si>
  <si>
    <t>b.3 Level 3 Accreditation</t>
  </si>
  <si>
    <t>c. Accredited Service Providers</t>
  </si>
  <si>
    <t>Number of SWAs and SWDAs registered, licensed and accredited</t>
  </si>
  <si>
    <t>a. Registered and Licensed SWAs</t>
  </si>
  <si>
    <t>b. Registered Auxiliary SWDAs</t>
  </si>
  <si>
    <t>c. Accredited SWAs</t>
  </si>
  <si>
    <t>c.1 Level 1 Accreditation</t>
  </si>
  <si>
    <t>1.1 DSWD-Operated Residential Facilities</t>
  </si>
  <si>
    <t>1.2 LGU-Managed Facilities</t>
  </si>
  <si>
    <t>1.3 Private SWAs</t>
  </si>
  <si>
    <t>c.2 Level 2 Accreditation</t>
  </si>
  <si>
    <t>2.1 DSWD-Operated Residential Facilities</t>
  </si>
  <si>
    <t>2.2 LGU-Managed Facilities</t>
  </si>
  <si>
    <t>0</t>
  </si>
  <si>
    <t>2.3 Private SWAs</t>
  </si>
  <si>
    <t>c.3 Level 3 Accreditation</t>
  </si>
  <si>
    <t>3.1 DSWD-Operated Residential Facilities</t>
  </si>
  <si>
    <t>3.2 LGU-Managed Facilities</t>
  </si>
  <si>
    <t>3.3 Private SWAs</t>
  </si>
  <si>
    <t>Number of CSOs accredited</t>
  </si>
  <si>
    <t>a.   Implementing Partner CSOs</t>
  </si>
  <si>
    <t>b.  Beneficiary Partner CSOs</t>
  </si>
  <si>
    <t>Number of service providers accredited</t>
  </si>
  <si>
    <t>a.     SWMCCs</t>
  </si>
  <si>
    <t>Not applicable to Field Offices</t>
  </si>
  <si>
    <t>b.     PMCs</t>
  </si>
  <si>
    <t>c. DCWs</t>
  </si>
  <si>
    <t>Percentage of SWDAs with RLA certificates issued within 30 working days upon receipt of compliant application</t>
  </si>
  <si>
    <t>Percentage of detected violations/complaints acted upon within 7 working days</t>
  </si>
  <si>
    <t>No complaints received for this quarter</t>
  </si>
  <si>
    <t>ORGANIZATIONAL OUTCOME 5: DELIVERY OF SOCIAL WELFARE AND DEVELOPMENT PROGRAMS BY LOCAL GOVERNMENT UNITS THROUGH LOCAL SOCIAL WELFARE AND DEVELOPMENT OFFICES IMPROVED</t>
  </si>
  <si>
    <t>Social Welfare and Development Technical Assistance and Resource Augmentation Program</t>
  </si>
  <si>
    <t>Percentage of LSWDOs with improved functionality:</t>
  </si>
  <si>
    <t>a.   Partially-functional to Functional</t>
  </si>
  <si>
    <t>a.1 Province</t>
  </si>
  <si>
    <t>a.2 City</t>
  </si>
  <si>
    <t>a.3 Municipality</t>
  </si>
  <si>
    <t>b.   Functional to Fully-functional</t>
  </si>
  <si>
    <t>b.1 Province</t>
  </si>
  <si>
    <t>b.2 City</t>
  </si>
  <si>
    <t>b.3 Municipality</t>
  </si>
  <si>
    <t>c. Partially-functional to Fully-functional</t>
  </si>
  <si>
    <t>c.1 Province</t>
  </si>
  <si>
    <t>c.2 City</t>
  </si>
  <si>
    <t>c.3 Municipality</t>
  </si>
  <si>
    <t>RESULT OF BASELINE ASSESSMENT:</t>
  </si>
  <si>
    <t>a. Low</t>
  </si>
  <si>
    <t>a.1. Province</t>
  </si>
  <si>
    <t xml:space="preserve">The Field Office 10 was able to assess the 37 remaining LGUs using the enhanced Service Delivery Assessment Tool. CSWDO Oroquieta City was re-assessed and has progressed from "LOW LEVEL" to "LEVEL 2". The conduct of re-assessment was due to the reason that during the first assessment, the CSWDO was unable to produce the pertinent documents as Means of Verification during the actual validation. Upon assessment done thru interview and review of relevant documents, the aforementioned city progressed from “LOW LEVEL” to “LEVEL – 2” with an Index Score of 2.12.  </t>
  </si>
  <si>
    <t>b. Level 1 - "Enhanced Service Delivery"</t>
  </si>
  <si>
    <t>b.1. Province</t>
  </si>
  <si>
    <t>c. Level 2 - "Better Service Delivery"</t>
  </si>
  <si>
    <t>c.1. Province</t>
  </si>
  <si>
    <t>d. Level 3 - "Improved Service Delivery"</t>
  </si>
  <si>
    <t>d.1. Province</t>
  </si>
  <si>
    <t>d.2 City</t>
  </si>
  <si>
    <t>d.3 Municipality</t>
  </si>
  <si>
    <t>Number of learning development interventions provided to LGUs</t>
  </si>
  <si>
    <t>Percentage of LGUs provided with technical assistance</t>
  </si>
  <si>
    <t>Aside from the 61 targeted LGUs to be provided with technical assistance, there were four (4) more LGUs provided with TA namely: Concepcion and Don Victoriano of Misamis Occidental; Gitagum of Misamis Oriental; and Lantapan of Bukidnon.</t>
  </si>
  <si>
    <t>100%
 (93 LGUs)</t>
  </si>
  <si>
    <t>Percentage of LGUs provided with resource augmentation</t>
  </si>
  <si>
    <t>LGUs provided with augmentation on disaster response services</t>
  </si>
  <si>
    <t>Percentage of LGUs that rated TA provided satisfactory or better</t>
  </si>
  <si>
    <t>There is no tool developed yet in connection with this indicator.</t>
  </si>
  <si>
    <t>Percentage of LGUs that rated RA provided satisfactory or better</t>
  </si>
  <si>
    <t>SUPPORT TO OPERATIONS</t>
  </si>
  <si>
    <t>Policy and Plan Development</t>
  </si>
  <si>
    <t>Number of SWD legislative or executive issuances prepared for executive/legislative approval</t>
  </si>
  <si>
    <t>No SWD legislative or executive issuances prepared yet.</t>
  </si>
  <si>
    <t>Number of agency policies approved and disseminated</t>
  </si>
  <si>
    <t>Number of agency plans formulated and disseminated</t>
  </si>
  <si>
    <t>a.  Medium-term Plans</t>
  </si>
  <si>
    <t>b. Annual Plans</t>
  </si>
  <si>
    <t>Sectoral Plan for CY 2021, BED Form No. 2</t>
  </si>
  <si>
    <t>Number of researches completed</t>
  </si>
  <si>
    <t>Number of position papers prepared</t>
  </si>
  <si>
    <t>100% of requests for DSWD position papers responded to</t>
  </si>
  <si>
    <t>No DSWD position papers responded yet</t>
  </si>
  <si>
    <t>Social Technology Development</t>
  </si>
  <si>
    <t>Number of social technologies formulated</t>
  </si>
  <si>
    <t>STU FO X did not set a target on this indicator this is because staff in the unit is very limited and is focused only on adopting, promoting and marketing STs.</t>
  </si>
  <si>
    <t>6.6.1</t>
  </si>
  <si>
    <t xml:space="preserve">Number of new concepts of models of interventions responding to emerging needs </t>
  </si>
  <si>
    <t>6.6.2</t>
  </si>
  <si>
    <t>Number of new designs formulated</t>
  </si>
  <si>
    <t>6.6.3</t>
  </si>
  <si>
    <t>Number of models of intervention pilot tested</t>
  </si>
  <si>
    <t>6.6.4</t>
  </si>
  <si>
    <t>Number of models of intervention evaluated</t>
  </si>
  <si>
    <t>Number of SWD programs and services enhanced</t>
  </si>
  <si>
    <t>6.7.1</t>
  </si>
  <si>
    <t>Number of concepts on the enhancement of an existing program/service</t>
  </si>
  <si>
    <t>6.7.2</t>
  </si>
  <si>
    <t>Number of designs of enhanced programs/services formulated</t>
  </si>
  <si>
    <t>6.7.3</t>
  </si>
  <si>
    <t>Number of enhanced models pilot tested</t>
  </si>
  <si>
    <t>6.7.4</t>
  </si>
  <si>
    <t>Number of enhanced models evaluated</t>
  </si>
  <si>
    <t>Percentage of intermediaries adopting completed social technologies</t>
  </si>
  <si>
    <t>Number of intermediaries replicating completed social technologies</t>
  </si>
  <si>
    <t>Number of completed social technologies promoted</t>
  </si>
  <si>
    <t>STU FO X did not set a target on this indicator</t>
  </si>
  <si>
    <t>6.10.1</t>
  </si>
  <si>
    <t>Number of ST portfolio</t>
  </si>
  <si>
    <t>No target for this indicator yet. As per STU, training will still to be conducted by STB.</t>
  </si>
  <si>
    <t>6.10.2</t>
  </si>
  <si>
    <t>Percentage of LGUs reached through social marketing activities</t>
  </si>
  <si>
    <t>The strategy was direct mail of advocacy materials with the RDC Resolutions enjoining the LGUs to replicate the Completed Social Technologies. As of June 26, 2020 24 LGUs emailed the scanned copy of their signed Expression of Interest.; 98 LGUs were provided Advocacy Planner during the first quarter of CY 2020. The total 98 LGUs of Region X were reached through the provision of advocacy Planner CY 2020.</t>
  </si>
  <si>
    <t xml:space="preserve">National Household Targeting System for Poverty Reduction </t>
  </si>
  <si>
    <t>Percentage of intermediaries utilizing Listahanan results for social welfare and development initiatives</t>
  </si>
  <si>
    <t>No target</t>
  </si>
  <si>
    <t>No. of requests for statistical data granted</t>
  </si>
  <si>
    <t>No. of name-matching requests granted</t>
  </si>
  <si>
    <t>No. of requests for List of Poor Households generated</t>
  </si>
  <si>
    <t>Number of households assessed to determine poverty status</t>
  </si>
  <si>
    <t>More households were assessed due to increase in population and migration.</t>
  </si>
  <si>
    <t>Number of households assessed for special validation for the UCT Program</t>
  </si>
  <si>
    <t xml:space="preserve">Information and Communications Technology Management </t>
  </si>
  <si>
    <t>Number of computer networks maintained</t>
  </si>
  <si>
    <t>Percentage of functional information systems deployed and maintained</t>
  </si>
  <si>
    <t>Percentage of users trained on ICT applications, tools and products</t>
  </si>
  <si>
    <t>No trainings conducted due to the current pandemic.</t>
  </si>
  <si>
    <t>Percentage of service support and technical assistance requests acted upon</t>
  </si>
  <si>
    <t>Number of databases maintained</t>
  </si>
  <si>
    <t>Number of functional websites developed and maintained</t>
  </si>
  <si>
    <t>Internal Audit</t>
  </si>
  <si>
    <t>Percentage of audit recommendations complied with</t>
  </si>
  <si>
    <t>Percentage of integrity management measures implemented:</t>
  </si>
  <si>
    <t>Social Marketing</t>
  </si>
  <si>
    <t>Percentage of stakeholders informed on DSWD programs and services</t>
  </si>
  <si>
    <t>Number of social marketing activities conducted:</t>
  </si>
  <si>
    <t>a. Information caravans</t>
  </si>
  <si>
    <t>b. Issuance of press releases</t>
  </si>
  <si>
    <t>c. Communication campaigns</t>
  </si>
  <si>
    <t>Number of IEC materials developed</t>
  </si>
  <si>
    <t>Knowledge Management</t>
  </si>
  <si>
    <t>Number of knowledge products on social welfare and development services developed</t>
  </si>
  <si>
    <t>Number of knowledge sharing sessions conducted</t>
  </si>
  <si>
    <t>GENERAL ADMINISTRATION AND SUPPORT SERVICES</t>
  </si>
  <si>
    <t>Human Resource and Development</t>
  </si>
  <si>
    <t>Percentage of positions filled-up within timeline</t>
  </si>
  <si>
    <t>Percentage of regular staff provided with at least 1 learning and development intervention</t>
  </si>
  <si>
    <t>Percentage of staff provided with compensation/benefits within timeline</t>
  </si>
  <si>
    <t>Legal Services</t>
  </si>
  <si>
    <t>Percentage of disciplinary cases resolved within timeline</t>
  </si>
  <si>
    <t>-</t>
  </si>
  <si>
    <t>Percentage of litigated cases resolved in favor of the Department or Department Personnel</t>
  </si>
  <si>
    <t>Funding for the Legal Officer was discontinued since 3rd quarter of 2019</t>
  </si>
  <si>
    <t>Percentage of requests for legal assistance addressed</t>
  </si>
  <si>
    <t>Administrative Services</t>
  </si>
  <si>
    <t>Number of facilities repaired/renovated</t>
  </si>
  <si>
    <t>Percentage of real properties titled</t>
  </si>
  <si>
    <t>Not titled but by Presidential Proclamation</t>
  </si>
  <si>
    <t>Number of vehicles maintained and managed</t>
  </si>
  <si>
    <t>23 vehicles 
5 motorcycles</t>
  </si>
  <si>
    <t>25 vehicles 
5 motorcycles</t>
  </si>
  <si>
    <t>24 vehicles 
5 motorcycles</t>
  </si>
  <si>
    <t>1 vehicle for transfer to RRCY in Gingoog City</t>
  </si>
  <si>
    <t>Percentage of records digitized/disposed</t>
  </si>
  <si>
    <t>Percentage of records digitized</t>
  </si>
  <si>
    <t>Digitization Project was completed with final turn-over of the system and its software, final payment already submitted to the Property Supply and Asset Management Section (PSAMS) after the issuance of Certificate of Completion.</t>
  </si>
  <si>
    <t>Percentage of records disposed</t>
  </si>
  <si>
    <t>Disposal of valueless records is by sack as per National Archives of the Philippines (NAP) for easy computation as to volume.</t>
  </si>
  <si>
    <t>Financial Management</t>
  </si>
  <si>
    <t>Percentage of budget utilized</t>
  </si>
  <si>
    <t>a.     Actual Obligations Over Actual Allotment Incurred</t>
  </si>
  <si>
    <t>b.   Actual Disbursements over Actual Obligations Incurred</t>
  </si>
  <si>
    <t>c.   Actual Disbursements over Actual Cash Allocation Received</t>
  </si>
  <si>
    <t>Percentage of cash advance liquidated</t>
  </si>
  <si>
    <t>a.     Advances to officers and employees</t>
  </si>
  <si>
    <t>b.     Advances to SDOs</t>
  </si>
  <si>
    <t xml:space="preserve">        b.1 Current Year</t>
  </si>
  <si>
    <t xml:space="preserve">        b.2 Prior Years</t>
  </si>
  <si>
    <t>c.  Inter-agency transferred funds</t>
  </si>
  <si>
    <t>c.1 Current Year</t>
  </si>
  <si>
    <t>c.2 Prior Years</t>
  </si>
  <si>
    <t>Percentage of AOM responded within timeline</t>
  </si>
  <si>
    <t>Percentage of NS/ND complied within timeline</t>
  </si>
  <si>
    <t>Procurement Services</t>
  </si>
  <si>
    <t>Percentage of procurement projects completed in accordance with applicable rules and regulations</t>
  </si>
  <si>
    <t xml:space="preserve"> </t>
  </si>
  <si>
    <t>Percentage compliance with reportorial requirements from oversight agencies</t>
  </si>
  <si>
    <t>Prepared by:</t>
  </si>
  <si>
    <t>Reviewed by:</t>
  </si>
  <si>
    <t>Approved by:</t>
  </si>
  <si>
    <t>EVITA T. JUNGAO</t>
  </si>
  <si>
    <t>LINDA A. CANGUIT</t>
  </si>
  <si>
    <t>ZOSIMO G. BUTIL</t>
  </si>
  <si>
    <t>Statistician I</t>
  </si>
  <si>
    <t>Planning Officer IV</t>
  </si>
  <si>
    <t>SWO V/PPD Chief</t>
  </si>
  <si>
    <t>As of June 30, 2025</t>
  </si>
  <si>
    <t>Variance as of June, 2025</t>
  </si>
  <si>
    <t>PANTAWID PAMILYANG PILIPINO PROGRAM</t>
  </si>
  <si>
    <t>OUTCOME INDICATOR</t>
  </si>
  <si>
    <t>Percentage of Pantawid households with improved wellbeing (GAA Indicator)</t>
  </si>
  <si>
    <t>a. Survival Level</t>
  </si>
  <si>
    <t>b. Subsistence Level</t>
  </si>
  <si>
    <t>c. Self-Sufficiency Level</t>
  </si>
  <si>
    <t>NOMINAL VALUE</t>
  </si>
  <si>
    <t>OUTPUT INDICATORS</t>
  </si>
  <si>
    <t>Number of Pantawid households provided with conditional cash grants (GAA Indicators)</t>
  </si>
  <si>
    <t>Number of compliant HHs provided with F1KD grants</t>
  </si>
  <si>
    <t xml:space="preserve">Number of PLW and Children provided with F1KD grants </t>
  </si>
  <si>
    <t>a. Pregnant / Lactating Women</t>
  </si>
  <si>
    <t>b. Children (0-2 years old)</t>
  </si>
  <si>
    <t>KALAHI-CIDSS</t>
  </si>
  <si>
    <t>Number of sub-projects completed in accordance with technical plans and schedule</t>
  </si>
  <si>
    <t>a.  KKB-CDD</t>
  </si>
  <si>
    <t>b. Pag-abot CDD</t>
  </si>
  <si>
    <t>Number of households benefitted from completed sub-projects</t>
  </si>
  <si>
    <t>Number of communities implementing Pag-abot CDD</t>
  </si>
  <si>
    <r>
      <rPr>
        <rFont val="Arial"/>
        <b/>
        <color rgb="FF000000"/>
        <sz val="11.0"/>
      </rPr>
      <t xml:space="preserve">Number of Sub-Projects with conducted Sustainability Evaluations </t>
    </r>
    <r>
      <rPr>
        <rFont val="Arial"/>
        <b/>
        <i/>
        <color rgb="FF000000"/>
        <sz val="11.0"/>
      </rPr>
      <t>(PMNP)</t>
    </r>
  </si>
  <si>
    <r>
      <rPr>
        <rFont val="Arial"/>
        <b/>
        <color rgb="FF000000"/>
        <sz val="11.0"/>
      </rPr>
      <t xml:space="preserve">Number of families with Persons with Disabilities served </t>
    </r>
    <r>
      <rPr>
        <rFont val="Arial"/>
        <b/>
        <i/>
        <color rgb="FF000000"/>
        <sz val="11.0"/>
      </rPr>
      <t>(KKB-CFW for PWDs)</t>
    </r>
  </si>
  <si>
    <r>
      <rPr>
        <rFont val="Arial"/>
        <b/>
        <color rgb="FF000000"/>
        <sz val="11.0"/>
      </rPr>
      <t>Number of families with College Graduates/Students served</t>
    </r>
    <r>
      <rPr>
        <rFont val="Arial"/>
        <b/>
        <color rgb="FF000000"/>
        <sz val="11.0"/>
      </rPr>
      <t xml:space="preserve"> </t>
    </r>
    <r>
      <rPr>
        <rFont val="Arial"/>
        <b/>
        <i/>
        <color rgb="FF000000"/>
        <sz val="11.0"/>
      </rPr>
      <t>(KKB-CFW for Students/New Graduates)</t>
    </r>
  </si>
  <si>
    <r>
      <rPr>
        <rFont val="Arial"/>
        <b/>
        <i/>
        <color rgb="FF000000"/>
        <sz val="11.0"/>
      </rPr>
      <t xml:space="preserve">Number of women volunteers trained on CDD </t>
    </r>
    <r>
      <rPr>
        <rFont val="Arial"/>
        <b/>
        <i/>
        <color rgb="FF000000"/>
        <sz val="11.0"/>
      </rPr>
      <t>(Numerator)</t>
    </r>
  </si>
  <si>
    <r>
      <rPr>
        <rFont val="Arial"/>
        <b/>
        <i/>
        <color rgb="FF000000"/>
        <sz val="11.0"/>
      </rPr>
      <t xml:space="preserve">Total number of volunteers trained on CDD </t>
    </r>
    <r>
      <rPr>
        <rFont val="Arial"/>
        <b/>
        <i/>
        <color rgb="FF000000"/>
        <sz val="11.0"/>
      </rPr>
      <t>(Denominator)</t>
    </r>
  </si>
  <si>
    <t>Percentage of paid labor jobs created by KALAHI CIDSS are accessed by women</t>
  </si>
  <si>
    <r>
      <rPr>
        <rFont val="Arial"/>
        <b/>
        <i/>
        <color rgb="FF000000"/>
        <sz val="11.0"/>
      </rPr>
      <t>Number of paid labor jobs created by KALAHI CIDSS are accessed by women</t>
    </r>
    <r>
      <rPr>
        <rFont val="Arial"/>
        <b/>
        <i/>
        <color rgb="FF000000"/>
        <sz val="11.0"/>
      </rPr>
      <t xml:space="preserve"> (Numerator)</t>
    </r>
  </si>
  <si>
    <r>
      <rPr>
        <rFont val="Arial"/>
        <b/>
        <i/>
        <color rgb="FF000000"/>
        <sz val="11.0"/>
      </rPr>
      <t xml:space="preserve">Total number of paid labor jobs created by KALAHI CIDSS </t>
    </r>
    <r>
      <rPr>
        <rFont val="Arial"/>
        <b/>
        <i/>
        <color rgb="FF000000"/>
        <sz val="11.0"/>
      </rPr>
      <t>(Denominator)</t>
    </r>
  </si>
  <si>
    <t>Percentage of paid labor jobs created are accessed by 4Ps beneficiaries</t>
  </si>
  <si>
    <r>
      <rPr>
        <rFont val="Arial"/>
        <b/>
        <i/>
        <color rgb="FF000000"/>
        <sz val="11.0"/>
      </rPr>
      <t>Number of paid labor jobs created by KALAHI CIDSS are accessed by 4Ps beneficiaries</t>
    </r>
    <r>
      <rPr>
        <rFont val="Arial"/>
        <b/>
        <i/>
        <color rgb="FF000000"/>
        <sz val="11.0"/>
      </rPr>
      <t xml:space="preserve"> (Numerator)</t>
    </r>
  </si>
  <si>
    <t>PAMANA PEACE AND DEVELOPMENT FUND</t>
  </si>
  <si>
    <t>Number of sub-projects completed in accordance with technical plans and schedule (PAMANA)</t>
  </si>
  <si>
    <t>Number of households benefitted from completed sub-projects (PAMANA)</t>
  </si>
  <si>
    <t>PAMANA DSWD/LGU-LED LIVELIHOOD</t>
  </si>
  <si>
    <t>Number of CAAs/CVAs provided with livelihood assistance (PAMANA)</t>
  </si>
  <si>
    <t>Number of former non-state armed group members (FMNSAG) provided with social case management (PAMANA)</t>
  </si>
  <si>
    <t>SUSTAINABLE LIVELIHOOD PROGRAM</t>
  </si>
  <si>
    <t>Percentage of SLP participants who have established a microenterprise or have been employed</t>
  </si>
  <si>
    <t>A. Number of SLP participants engaged in established microenterprise</t>
  </si>
  <si>
    <t>a. SLP Regular</t>
  </si>
  <si>
    <t>b. ZERO HUNGER - PCB PROJECTS</t>
  </si>
  <si>
    <t>c. EO 70 Implementation</t>
  </si>
  <si>
    <t>d. Refferal</t>
  </si>
  <si>
    <t>B. Number of employed SLP participants</t>
  </si>
  <si>
    <t>OUTPUT INDICATOR</t>
  </si>
  <si>
    <t>Number of poor households assisted through the Sustainable Livelihood Program (GAA indicator)</t>
  </si>
  <si>
    <t>d. CI Refferals</t>
  </si>
  <si>
    <t>Number of SLP Partcipants who received SLP Modalities</t>
  </si>
  <si>
    <t>a. Microenterprise Development</t>
  </si>
  <si>
    <t>b. Employment Facilitation</t>
  </si>
  <si>
    <t>RESIDENTIAL AND NON-RESIDENTIAL CARE SUB-PROGRAM</t>
  </si>
  <si>
    <t>OUTCOME INDICATORS</t>
  </si>
  <si>
    <r>
      <rPr>
        <rFont val="Arial"/>
        <b/>
        <color rgb="FF000000"/>
        <sz val="11.0"/>
      </rPr>
      <t xml:space="preserve">Percentage of clients in residential and non-residential care facilities rehabilitated </t>
    </r>
    <r>
      <rPr>
        <rFont val="Arial"/>
        <b/>
        <i/>
        <color rgb="FF000000"/>
        <sz val="11.0"/>
      </rPr>
      <t>(GAA indicator)</t>
    </r>
  </si>
  <si>
    <t>Number of Clients Rehabilitated</t>
  </si>
  <si>
    <t>Residential Care Facilities</t>
  </si>
  <si>
    <t>Reception and Study Center for Children</t>
  </si>
  <si>
    <t>Home for Girls</t>
  </si>
  <si>
    <t>Regional Rehabilitation Center for Youth</t>
  </si>
  <si>
    <t>Regional Haven for Women</t>
  </si>
  <si>
    <t>Bahay Silungan</t>
  </si>
  <si>
    <r>
      <rPr>
        <rFont val="Arial"/>
        <b/>
        <i/>
        <color rgb="FF000000"/>
        <sz val="11.0"/>
      </rPr>
      <t>Number of clients served in residential and non-residential care facilities</t>
    </r>
    <r>
      <rPr>
        <rFont val="Arial"/>
        <b/>
        <i/>
        <color rgb="FF000000"/>
        <sz val="11.0"/>
      </rPr>
      <t>(GAA indicator)</t>
    </r>
  </si>
  <si>
    <r>
      <rPr>
        <rFont val="Arial"/>
        <b/>
        <color rgb="FF000000"/>
        <sz val="11.0"/>
      </rPr>
      <t xml:space="preserve">Percentage of facilities with client-staff ratio </t>
    </r>
    <r>
      <rPr>
        <rFont val="Arial"/>
        <b/>
        <i/>
        <color rgb="FF000000"/>
        <sz val="11.0"/>
      </rPr>
      <t>(GAA indicator)</t>
    </r>
  </si>
  <si>
    <t>Number of Facilities with Standard Client Ratio</t>
  </si>
  <si>
    <t>70% (4 out of 5 facilities)</t>
  </si>
  <si>
    <t>SUPPLEMENTARY FEEDING SUB-PROGRAM</t>
  </si>
  <si>
    <r>
      <rPr>
        <rFont val="Arial"/>
        <b/>
        <color rgb="FF000000"/>
        <sz val="11.0"/>
      </rPr>
      <t xml:space="preserve">Percentage of malnourished children in CDCs and SNPs with improved nutritional status </t>
    </r>
    <r>
      <rPr>
        <rFont val="Arial"/>
        <b/>
        <i/>
        <color rgb="FF000000"/>
        <sz val="11.0"/>
      </rPr>
      <t>(GAA indicator)</t>
    </r>
    <r>
      <rPr>
        <rFont val="Arial"/>
        <b/>
        <color rgb="FF000000"/>
        <sz val="11.0"/>
      </rPr>
      <t xml:space="preserve">
</t>
    </r>
    <r>
      <rPr>
        <rFont val="Arial"/>
        <b/>
        <i/>
        <color rgb="FF000000"/>
        <sz val="11.0"/>
      </rPr>
      <t>14th Cycle Implementation</t>
    </r>
  </si>
  <si>
    <r>
      <rPr>
        <rFont val="Arial"/>
        <b/>
        <i/>
        <color rgb="FF000000"/>
        <sz val="11.0"/>
      </rPr>
      <t xml:space="preserve">Number of Malnourished Children with improved nutritional status (After feeding session)  </t>
    </r>
    <r>
      <rPr>
        <rFont val="Arial"/>
        <b/>
        <i/>
        <color rgb="FF000000"/>
        <sz val="11.0"/>
      </rPr>
      <t>[Numerator]</t>
    </r>
  </si>
  <si>
    <r>
      <rPr>
        <rFont val="Arial"/>
        <b/>
        <i/>
        <color rgb="FF000000"/>
        <sz val="11.0"/>
      </rPr>
      <t>Number of Malnourished Children before feeding sessions</t>
    </r>
    <r>
      <rPr>
        <rFont val="Arial"/>
        <b/>
        <i/>
        <color rgb="FF000000"/>
        <sz val="11.0"/>
      </rPr>
      <t xml:space="preserve"> [Denominator]</t>
    </r>
  </si>
  <si>
    <t>Number of children in CDCs and SNPs provided with supplementary feeding (GAA indicator)</t>
  </si>
  <si>
    <t>a. 15th Cycle Implementation</t>
  </si>
  <si>
    <t>b. 14th Cycle Implementation</t>
  </si>
  <si>
    <t>Number of children provided with milk feeding</t>
  </si>
  <si>
    <t>No target for milk feeding this year</t>
  </si>
  <si>
    <t>SOCIAL WELFARE FOR SENIOR CITIZENS SUB-PROGRAM</t>
  </si>
  <si>
    <r>
      <rPr>
        <rFont val="Arial"/>
        <b/>
        <color rgb="FF000000"/>
        <sz val="11.0"/>
      </rPr>
      <t>Percentage of senior citizens using Social Pension to augment their daily living subsistence and medical needs</t>
    </r>
    <r>
      <rPr>
        <rFont val="Arial"/>
        <b/>
        <color rgb="FF000000"/>
        <sz val="11.0"/>
      </rPr>
      <t xml:space="preserve"> </t>
    </r>
    <r>
      <rPr>
        <rFont val="Arial"/>
        <b/>
        <i/>
        <color rgb="FF000000"/>
        <sz val="11.0"/>
      </rPr>
      <t>(GAA indicator)</t>
    </r>
  </si>
  <si>
    <t>Number of senior citizens using Social Pension to augment their daily living subsistence and medical needs</t>
  </si>
  <si>
    <t>a. Stipend received for Food</t>
  </si>
  <si>
    <t>b. Stipend received for Medicine</t>
  </si>
  <si>
    <t>c. Stipend received for Medical</t>
  </si>
  <si>
    <t>n/a</t>
  </si>
  <si>
    <r>
      <rPr>
        <rFont val="Arial"/>
        <b/>
        <color rgb="FF000000"/>
        <sz val="11.0"/>
      </rPr>
      <t xml:space="preserve">Number of senior citizens who received social pension within the quarter </t>
    </r>
    <r>
      <rPr>
        <rFont val="Arial"/>
        <b/>
        <i/>
        <color rgb="FF000000"/>
        <sz val="11.0"/>
      </rPr>
      <t>(GAA indicator) | Number of eligible senior citizens who received social pension (PDP indicator)</t>
    </r>
  </si>
  <si>
    <t>PROTECTIVE PROGRAM FOR INDIVIDUALS, FAMILIES AND COMMUNITIES IN NEED OR IN CRISIS SUB-PROGRAM</t>
  </si>
  <si>
    <r>
      <rPr>
        <rFont val="Arial"/>
        <b/>
        <i/>
        <color rgb="FF000000"/>
        <sz val="11.0"/>
      </rPr>
      <t xml:space="preserve">Percentage of clients who rated protective services provided as satisfactory or better </t>
    </r>
    <r>
      <rPr>
        <rFont val="Arial"/>
        <b/>
        <i/>
        <color rgb="FF000000"/>
        <sz val="11.0"/>
      </rPr>
      <t>(GAA indicator) [</t>
    </r>
    <r>
      <rPr>
        <rFont val="Arial"/>
        <b/>
        <i/>
        <color rgb="FF000000"/>
        <sz val="11.0"/>
      </rPr>
      <t>AICS]</t>
    </r>
  </si>
  <si>
    <r>
      <rPr>
        <rFont val="Arial"/>
        <b/>
        <i/>
        <color rgb="FF000000"/>
        <sz val="11.0"/>
      </rPr>
      <t xml:space="preserve">Number of clients who rated protective services provided as satisfactory or better </t>
    </r>
    <r>
      <rPr>
        <rFont val="Arial"/>
        <b/>
        <i/>
        <color rgb="FF000000"/>
        <sz val="11.0"/>
      </rPr>
      <t>(Numerator)</t>
    </r>
  </si>
  <si>
    <r>
      <rPr>
        <rFont val="Arial"/>
        <b/>
        <i/>
        <color rgb="FF000000"/>
        <sz val="11.0"/>
      </rPr>
      <t>Number of surveyed clients</t>
    </r>
    <r>
      <rPr>
        <rFont val="Arial"/>
        <b/>
        <i/>
        <color rgb="FF000000"/>
        <sz val="11.0"/>
      </rPr>
      <t xml:space="preserve"> (Denominator)</t>
    </r>
  </si>
  <si>
    <r>
      <rPr>
        <rFont val="Arial"/>
        <b/>
        <color rgb="FF000000"/>
        <sz val="11.0"/>
      </rPr>
      <t xml:space="preserve">Number of beneficiaries served through Protective Services Program </t>
    </r>
    <r>
      <rPr>
        <rFont val="Arial"/>
        <b/>
        <i/>
        <color rgb="FF000000"/>
        <sz val="11.0"/>
      </rPr>
      <t>(GAA indicator) [AICS]</t>
    </r>
  </si>
  <si>
    <t>a. Educational Assistance</t>
  </si>
  <si>
    <t>b. Medical Assistance</t>
  </si>
  <si>
    <t>c. Transportation Assistance</t>
  </si>
  <si>
    <t>d. Burial Assistance</t>
  </si>
  <si>
    <t>e. Food Assistance</t>
  </si>
  <si>
    <t>f. Other Cash Assistance</t>
  </si>
  <si>
    <t>g. Hot Meals</t>
  </si>
  <si>
    <t>h. Family Food Packs</t>
  </si>
  <si>
    <t>i. Hygiene And Sleeping Kits</t>
  </si>
  <si>
    <t>j. Assistive Devices And Technologies</t>
  </si>
  <si>
    <t>k. Psychosocial</t>
  </si>
  <si>
    <t>l. Referral</t>
  </si>
  <si>
    <t>AYUDA SA KAPOS ANG KITA PROGRAM (AKAP)</t>
  </si>
  <si>
    <t>Number of clients served</t>
  </si>
  <si>
    <t>LIWANAG AT TUBIG WELFARE ASSISTANCE PROGRAM</t>
  </si>
  <si>
    <t>Number of beneficiaries provided with assistance</t>
  </si>
  <si>
    <t>RRPTP Social workers are not the case managers of the traficked persoms</t>
  </si>
  <si>
    <t>SOCIAL WELFARE FOR DISTRESSED OVERSEAS FILIPINOS AND TRAFFICKED PERSONS SUB-PROGRAM</t>
  </si>
  <si>
    <t>OFW was already transferred to Department of Migrant Workers</t>
  </si>
  <si>
    <r>
      <rPr>
        <rFont val="Arial"/>
        <b/>
        <color rgb="FF000000"/>
        <sz val="11.0"/>
      </rPr>
      <t>Percentage of assisted individuals who are reintegrated to their families and communities</t>
    </r>
    <r>
      <rPr>
        <rFont val="Arial"/>
        <b/>
        <i/>
        <color rgb="FF000000"/>
        <sz val="11.0"/>
      </rPr>
      <t xml:space="preserve"> </t>
    </r>
    <r>
      <rPr>
        <rFont val="Arial"/>
        <b/>
        <i/>
        <color rgb="FF000000"/>
        <sz val="11.0"/>
      </rPr>
      <t>(GAA indicator)</t>
    </r>
  </si>
  <si>
    <r>
      <rPr>
        <rFont val="Arial"/>
        <b/>
        <i/>
        <color rgb="FF000000"/>
        <sz val="11.0"/>
      </rPr>
      <t>Total number of Trafficked and Displaced Persons reintegrated</t>
    </r>
    <r>
      <rPr>
        <rFont val="Arial"/>
        <b/>
        <i/>
        <color rgb="FF000000"/>
        <sz val="11.0"/>
      </rPr>
      <t xml:space="preserve"> (Numerator)</t>
    </r>
  </si>
  <si>
    <t>a. Trafficked Persons</t>
  </si>
  <si>
    <t>b. Displaced Persons</t>
  </si>
  <si>
    <r>
      <rPr>
        <rFont val="Arial"/>
        <b/>
        <i/>
        <color rgb="FF000000"/>
        <sz val="11.0"/>
      </rPr>
      <t xml:space="preserve">Total number of Trafficked and Displaced Persons assisted </t>
    </r>
    <r>
      <rPr>
        <rFont val="Arial"/>
        <b/>
        <i/>
        <color rgb="FF000000"/>
        <sz val="11.0"/>
      </rPr>
      <t>(Denominator)</t>
    </r>
  </si>
  <si>
    <r>
      <rPr>
        <rFont val="Arial"/>
        <b/>
        <color rgb="FF000000"/>
        <sz val="11.0"/>
      </rPr>
      <t>Number of trafficked persons provided with social welfare services</t>
    </r>
    <r>
      <rPr>
        <rFont val="Arial"/>
        <b/>
        <color rgb="FF000000"/>
        <sz val="11.0"/>
      </rPr>
      <t xml:space="preserve"> (GAA indicator)</t>
    </r>
  </si>
  <si>
    <r>
      <rPr>
        <rFont val="Arial"/>
        <b/>
        <color rgb="FF000000"/>
        <sz val="11.0"/>
      </rPr>
      <t>Number of displaced overseas Filipinos provided with social welfare services</t>
    </r>
    <r>
      <rPr>
        <rFont val="Arial"/>
        <b/>
        <color rgb="FF000000"/>
        <sz val="11.0"/>
      </rPr>
      <t xml:space="preserve"> (GAA indicator)</t>
    </r>
  </si>
  <si>
    <t>COMMUNITY-BASED</t>
  </si>
  <si>
    <t>Number of clients provided with cash assistance</t>
  </si>
  <si>
    <t>a. PLHIV</t>
  </si>
  <si>
    <t>b. Persons of Concern (POC)</t>
  </si>
  <si>
    <t>Number of child laborers provided with support services (Educational Assistance) - SHIELD against Child Labor</t>
  </si>
  <si>
    <t>YAKAP BAYAN</t>
  </si>
  <si>
    <t>Number of LGUs replicating the Yakap Bayan Program Implementation</t>
  </si>
  <si>
    <t>SOCIAL PROTECTION PROGRAM FOR ADOLESCENT MOTHERS AND THEIR CHILDREN (SPPAMC)</t>
  </si>
  <si>
    <t>Number of adolescent mothers served (ProtecTEEN/SPPAMC)</t>
  </si>
  <si>
    <t>WALANG GUTOM PROGRAM (WGP) / PHILIPPINE FOOD STAMP PROGRAM</t>
  </si>
  <si>
    <r>
      <rPr>
        <rFont val="Arial"/>
        <b/>
        <color rgb="FF000000"/>
        <sz val="11.0"/>
      </rPr>
      <t xml:space="preserve">Number of poor households provided with food transfers in a timely manner </t>
    </r>
    <r>
      <rPr>
        <rFont val="Arial"/>
        <b/>
        <i/>
        <color rgb="FF000000"/>
        <sz val="11.0"/>
      </rPr>
      <t>(GAA indicator)</t>
    </r>
  </si>
  <si>
    <t>latest food transfer</t>
  </si>
  <si>
    <t>TARA, BASA! TUTORING PROGRAM</t>
  </si>
  <si>
    <t>No.of learners (struggling/non readers) provided with tutorial sessions</t>
  </si>
  <si>
    <t>Number of parents of learners provided with CFW assistance</t>
  </si>
  <si>
    <t>Number of college student deployed as tutors provided with CFW assistance</t>
  </si>
  <si>
    <t>Number of Youth Development Workers (YDW) provided with CFW assistance</t>
  </si>
  <si>
    <t>PAG-ABOT PROGRAM</t>
  </si>
  <si>
    <r>
      <rPr>
        <rFont val="Arial"/>
        <b/>
        <color rgb="FF000000"/>
        <sz val="11.0"/>
      </rPr>
      <t xml:space="preserve">Number of reached-out Pag-abot beneficiaries provided with comprehensive social protection services </t>
    </r>
    <r>
      <rPr>
        <rFont val="Arial"/>
        <b/>
        <i/>
        <color rgb="FF000000"/>
        <sz val="11.0"/>
      </rPr>
      <t>(GAA indicator)</t>
    </r>
  </si>
  <si>
    <t xml:space="preserve">BANGSAMORO UMPUNGAN SA NUTRISYON </t>
  </si>
  <si>
    <t>No. of children and pregnant/ lactating mothers served</t>
  </si>
  <si>
    <t>a. Children</t>
  </si>
  <si>
    <t>b. Pregnant and Lactating Woman (PLW)*</t>
  </si>
  <si>
    <t>DISASTER RESPONSE MANAGEMENT BUREAU</t>
  </si>
  <si>
    <r>
      <rPr>
        <rFont val="Arial"/>
        <b/>
        <color rgb="FF000000"/>
        <sz val="11.0"/>
      </rPr>
      <t xml:space="preserve">Percentage of disaster-affected households/families assisted to early recovery stage </t>
    </r>
    <r>
      <rPr>
        <rFont val="Arial"/>
        <b/>
        <i/>
        <color rgb="FF000000"/>
        <sz val="11.0"/>
      </rPr>
      <t>(GAA indicator)</t>
    </r>
  </si>
  <si>
    <t>Number of disaster-affected families that requested for assistance / based on assessed need / directive</t>
  </si>
  <si>
    <t>Number of families provided with disaster response and early recovery services</t>
  </si>
  <si>
    <t xml:space="preserve">Number of DSWD QRT members trained </t>
  </si>
  <si>
    <t>Number of requests from LGUs provided with augmentation on disaster response services</t>
  </si>
  <si>
    <r>
      <rPr>
        <rFont val="Arial"/>
        <b/>
        <color rgb="FF000000"/>
        <sz val="11.0"/>
      </rPr>
      <t xml:space="preserve">Number of disaster-affected families provided with disaster response services </t>
    </r>
    <r>
      <rPr>
        <rFont val="Arial"/>
        <b/>
        <i/>
        <color rgb="FF000000"/>
        <sz val="11.0"/>
      </rPr>
      <t>(GAA indicator)</t>
    </r>
  </si>
  <si>
    <t>a. Provision of Food and Non-Food Items (FNIs)</t>
  </si>
  <si>
    <t>b. Cash for Work (CFW) for Response</t>
  </si>
  <si>
    <t>c. Food for Work (FFW) for Response</t>
  </si>
  <si>
    <t>d. Emergency Cash Transfer (ECT) for Response</t>
  </si>
  <si>
    <r>
      <rPr>
        <rFont val="Arial"/>
        <b/>
        <color rgb="FF000000"/>
        <sz val="11.0"/>
      </rPr>
      <t xml:space="preserve">Number of disaster-affected families provided with early recovery services </t>
    </r>
    <r>
      <rPr>
        <rFont val="Arial"/>
        <b/>
        <i/>
        <color rgb="FF000000"/>
        <sz val="11.0"/>
      </rPr>
      <t>(GAA indicator)</t>
    </r>
  </si>
  <si>
    <t>a. Cash-for-Work (CFW) for Early Recovery</t>
  </si>
  <si>
    <t>b. Food for Work (FFW) for Early Recovery</t>
  </si>
  <si>
    <t>c. Emergency Cash Transfer (ECT) for Early Recovery</t>
  </si>
  <si>
    <t>D. Emergency Cash Transfer (ECT) for Response</t>
  </si>
  <si>
    <r>
      <rPr>
        <rFont val="Arial"/>
        <b/>
        <color rgb="FF000000"/>
        <sz val="11.0"/>
      </rPr>
      <t xml:space="preserve">Percentage of LGUs provided with resource augmentation </t>
    </r>
    <r>
      <rPr>
        <rFont val="Arial"/>
        <b/>
        <i/>
        <color rgb="FF000000"/>
        <sz val="11.0"/>
      </rPr>
      <t>(GAA indicator)</t>
    </r>
  </si>
  <si>
    <t>Number of LGUs provided with resource augmentation</t>
  </si>
  <si>
    <t>NATIONAL RESOURCE AND LOGISTICS MANAGEMENT BUREAU</t>
  </si>
  <si>
    <t>Number of LGUs with prepositioned goods (GAA indicator)</t>
  </si>
  <si>
    <t>PROJECT LAWA AT BINHI</t>
  </si>
  <si>
    <t>Number of vulnerable families provided with cash assistance through Project LAWA at BINHI modalities</t>
  </si>
  <si>
    <t>Number of RLAed SWAs and SWDAs with sustained compliance to social welfare and development standards</t>
  </si>
  <si>
    <t>Number of Beneficiary Partner CSOs Accredited</t>
  </si>
  <si>
    <t>No. of SWDAs with RLA certificates issued within 30 working days upon receipt of compliant application.</t>
  </si>
  <si>
    <t>Total no. of compliant application received</t>
  </si>
  <si>
    <t>No. of detected violations/complaints acted upon within 7 working days</t>
  </si>
  <si>
    <t>Total no. of violations/complaints detected</t>
  </si>
  <si>
    <t>Percentage of LGUs provided with technical assistance (GAA indicator)</t>
  </si>
  <si>
    <t>Number of LGUs provided with technical assistance</t>
  </si>
  <si>
    <t>Number of TAs provided to LGUs</t>
  </si>
  <si>
    <t>Percentage of LGUs that rated TA provided as satisfactory or better</t>
  </si>
  <si>
    <t>Number of LGUs that rated TA provided as satisfactory or better</t>
  </si>
  <si>
    <t>Number of LGUs that rated TA</t>
  </si>
  <si>
    <t>ENHANCED PARTNERSHIP AGAINST HUNGER AND POVERTY</t>
  </si>
  <si>
    <t>Number of CBOs linked to institutional markets</t>
  </si>
  <si>
    <t>Percentage of CBOs who participated in government procurement activities for the purchase of goods for feeding programs and dietary services</t>
  </si>
  <si>
    <t>Percentage of CBOs who completed government contracts for the purchase of goods for feeding programs and dietary services</t>
  </si>
  <si>
    <t>POLICY AND PLAN DEVELOPMENT</t>
  </si>
  <si>
    <t>Number of research and evaluation studies completed</t>
  </si>
  <si>
    <t>SOCIAL TECHNOLOGY DEVELOPMENT</t>
  </si>
  <si>
    <t>Number of intermediaries institutionalizing completed social technologies (STs)</t>
  </si>
  <si>
    <t>NATIONAL HOUSEHOLD TARGETING SYSTEM FOR POVERTY REDUCTION</t>
  </si>
  <si>
    <t>Percentage of approved Listahanan data requests facilitated and endorsed to the requester within the set deadline</t>
  </si>
  <si>
    <t>INFORMATION AND COMMUNICATIONS TECHNOLOGY MANAGEMENT</t>
  </si>
  <si>
    <t>Percentage of regional and sub-regional offices connected to secured and high-speed network to support social protection delivery</t>
  </si>
  <si>
    <t>INTERNAL AUDIT</t>
  </si>
  <si>
    <t>Number of Audit Recommendations Received</t>
  </si>
  <si>
    <t>Number of Audit Recommendations Complied</t>
  </si>
  <si>
    <t>]</t>
  </si>
  <si>
    <t>SOCIAL MARKETING</t>
  </si>
  <si>
    <t>Number of social marketing activities conducted</t>
  </si>
  <si>
    <t>a. No. of press release issued</t>
  </si>
  <si>
    <t>b. No. of communication campaigns conducted</t>
  </si>
  <si>
    <t>c. No. of IEC developed</t>
  </si>
  <si>
    <t>KNOWLEDGE MANAGEMENT</t>
  </si>
  <si>
    <t>Number of knowledge products (KPs) on social welfare and development services developed</t>
  </si>
  <si>
    <t>Number of knowledge sharing sessions (KSS) conducted</t>
  </si>
  <si>
    <t>HUMAN RESOURCE AND DEVELOPMENT</t>
  </si>
  <si>
    <t>Number of Positions Filled up within Timeline</t>
  </si>
  <si>
    <t>Number of Staff Provided with Learning and Development Interventions</t>
  </si>
  <si>
    <t>Number of Staff Receiving Salary and Benefits on Time</t>
  </si>
  <si>
    <t>LEGAL SERVICES</t>
  </si>
  <si>
    <t>Percentage of Preliminary Investigations Acted Upon</t>
  </si>
  <si>
    <t>Total No.of Complaints or Incident Report Received</t>
  </si>
  <si>
    <t>Total No.of Complaints or Incident Report Acted Upon Judiciously</t>
  </si>
  <si>
    <t>No. of Complaints or Incident Report Acted Upon</t>
  </si>
  <si>
    <t>a. No. of Complaints Proceeded with Preliminary Investigations</t>
  </si>
  <si>
    <t>b. No. of Complaints Dismissed</t>
  </si>
  <si>
    <t>c. No. of Complaints Proceeded with Fact-Finding Investigation</t>
  </si>
  <si>
    <t>Percentage of Administrative Disciplinary Cases submitted to Disciplining Authority with Formal Investigation Report</t>
  </si>
  <si>
    <t>Total No.of Administrative Disciplinary Cases Proceed to Formal Charge</t>
  </si>
  <si>
    <t>a. No. of Administrative Disciplinary Resolved with Decisions Issued handled by LS</t>
  </si>
  <si>
    <t>b. No. of Administrative Disciplinary for Confirmation of Decision as handled by FOs</t>
  </si>
  <si>
    <t>c. No. of Administrative Disciplinary Pleadings Issued (Summons, Notice, Orders, Memos)</t>
  </si>
  <si>
    <t>d. No. of Administrative Disciplinary Hearings Conducted</t>
  </si>
  <si>
    <t>No. of Employee's Clearance Processed</t>
  </si>
  <si>
    <t>No. of CENOPAC Issued</t>
  </si>
  <si>
    <t>Percentage of Litigated cases Attended and Represented the Department or Department Personnel</t>
  </si>
  <si>
    <t>Total No. of Received Invitation of Litigated cases to Represent the Department or Department Personnel</t>
  </si>
  <si>
    <t>Total No. of Litigated cases Representation for the Department or Department Personnel</t>
  </si>
  <si>
    <t>No. of all hearings attended representing Department/ DSWD personnel and other clients in all other cases</t>
  </si>
  <si>
    <t>No. of all pleadings filed representing Department/ DSWD personnel and other clients in all other cases</t>
  </si>
  <si>
    <t>No. of referred new cases to OSG and other partner lawyers and legal institution</t>
  </si>
  <si>
    <t>Percentage of Request for Legal Opinions and Technical Assistance Addressed</t>
  </si>
  <si>
    <t>No. of Request for Legal Opinions and Technical Assistance</t>
  </si>
  <si>
    <t>1. Total No. of Request for Legal Opinions (Review Contracts, Guidelines; Bills and IRRs and other Legal Queries in Writing)</t>
  </si>
  <si>
    <t>a. No. of Review on Contracts</t>
  </si>
  <si>
    <t>b. No. of Review on Bills &amp; IRRS and Guidelines</t>
  </si>
  <si>
    <t>c. No. of Legal Opinions/Queries DSWD OBSUs, FOs and Other stakeholders request for legal queries in writing</t>
  </si>
  <si>
    <t>2. Total No. of Request for Technical Assistance Addressed</t>
  </si>
  <si>
    <t>a. No. of General Technical Assistance</t>
  </si>
  <si>
    <t>b. No. of TA provided to Phone-in and Walk-in of DSWD Personnel &amp; Legal queries by External client</t>
  </si>
  <si>
    <t>3. Total No. of Freedom of Information Requests acted upon by FOI Decision Maker</t>
  </si>
  <si>
    <t>ADMINISTRATIVE SERVICES</t>
  </si>
  <si>
    <t>Number of records digitized</t>
  </si>
  <si>
    <t>Number of records identified for digitization</t>
  </si>
  <si>
    <t>Number of records disposed</t>
  </si>
  <si>
    <t>Number of records identified for disposal</t>
  </si>
  <si>
    <t>PROCUREMENT SERVICES</t>
  </si>
  <si>
    <t>Number of PRs Received</t>
  </si>
  <si>
    <t>Number of PRs Processes Awarded and Contracted on Time</t>
  </si>
  <si>
    <t>Number of Reports Required by Oversight Agencies Complied with</t>
  </si>
  <si>
    <t>Number of Reports Required by Oversight Agencies</t>
  </si>
  <si>
    <t>Percentage of Technical Assistance provided to ODSUs relating to various procurement projects as requested and/or as initiated through Procurement Facilitation Meetings</t>
  </si>
  <si>
    <t>Number of TAs provided</t>
  </si>
  <si>
    <t>Number of TAs request received</t>
  </si>
  <si>
    <t>Number of innovative/good practices for organizational and process excellence</t>
  </si>
  <si>
    <t>Percentage of FO ODSUs and other procurement partners satisfied with the services rendered</t>
  </si>
  <si>
    <t>Number of FO ODSUs and procurements partners satisfied with the services rendered</t>
  </si>
  <si>
    <t>Number of FO ODSUs and procurements partners subjected for satisfaction survey</t>
  </si>
  <si>
    <t>JERA MAE D. LABIS</t>
  </si>
  <si>
    <t>KAYSHER B. DANTALMURA</t>
  </si>
  <si>
    <t>LOIS MARIE R. MURILLO</t>
  </si>
  <si>
    <t>Planning Officer III, Section Head</t>
  </si>
  <si>
    <t>PO IV/PPD Chief</t>
  </si>
  <si>
    <t>As of December 31, 2019</t>
  </si>
  <si>
    <t>Variance as of September 30, 2019</t>
  </si>
  <si>
    <t>Administration of SWDI is still ongoing. Results are expected to be generated at the end of First Quarter of 2020.</t>
  </si>
  <si>
    <t>95% assessed</t>
  </si>
  <si>
    <t>Contributory factors for this increase in compliance is the implementation of Bata Balik Eskwela Campaign in which the field office collaborated with DepEd to bring the children back to school.</t>
  </si>
  <si>
    <t xml:space="preserve">Access to external resources include market linkage, raw materials and supplies, savings generation among others. </t>
  </si>
  <si>
    <t>Reasons of the major variance includes job ended due to end of contract, termination, sicknedd or continued schooling of the beneficiaries.
Aside from the above reasons, the limited number of monitoring PDOs and geographical location of projects resulted to less monitored and assessed beneficiaries.</t>
  </si>
  <si>
    <t xml:space="preserve">                      a.1 Period 5 (Oct-Nov 2018)</t>
  </si>
  <si>
    <t xml:space="preserve">A slight increase of households was observed compared to previous reporting is due to constant updating and monitoring of partner beneficiaries especially those tagged as Non Attending School from previous periods. </t>
  </si>
  <si>
    <t xml:space="preserve">                      a.2 Period 6 (Dec 2018-Jan 2019)</t>
  </si>
  <si>
    <t xml:space="preserve">                      a.3 Period 1 (Feb-March 2019)</t>
  </si>
  <si>
    <t xml:space="preserve">                      a.4 Period 2 (April-May 2019)</t>
  </si>
  <si>
    <t xml:space="preserve">                      a.4 Period 3 (June-July 2019)</t>
  </si>
  <si>
    <t xml:space="preserve">                      a.4 Period 4 (August-September 2019)</t>
  </si>
  <si>
    <t>Effective use of strategy, i.e. monthly checkpoints for C/MOOs and quarterly checkpoint for POOs</t>
  </si>
  <si>
    <t>a. CY 2017 and 2018 GAA -AP</t>
  </si>
  <si>
    <t>b. CY 2019 GAA</t>
  </si>
  <si>
    <t>NCDDP Cycle 1</t>
  </si>
  <si>
    <t>NCDDP Cycle 2</t>
  </si>
  <si>
    <t>NCDDP Cycle 3</t>
  </si>
  <si>
    <t>20-30%</t>
  </si>
  <si>
    <t>a. Residential Care Facilities</t>
  </si>
  <si>
    <t>a.1 RSCC</t>
  </si>
  <si>
    <t>a.2 RRCY</t>
  </si>
  <si>
    <t>a.3 Home for Girls</t>
  </si>
  <si>
    <t>a.4 Haven for Women</t>
  </si>
  <si>
    <t>318.0 (Discharged-based)
1054.0 (Admission-based)</t>
  </si>
  <si>
    <t>180.0 (Discharged-based)
478.0 (Admission-based)</t>
  </si>
  <si>
    <t>224.0 (Discharged-based)
1188.0 (Admission-based)</t>
  </si>
  <si>
    <t>363.0 (Discharged-based)
398.0 (Admission-based)</t>
  </si>
  <si>
    <t>428.0 (Discharged-based)
552.0 (Admission-based)</t>
  </si>
  <si>
    <t>297.0 (Discharged-based)</t>
  </si>
  <si>
    <t>330.0 
(Discharged-based)</t>
  </si>
  <si>
    <t>312.06 (Discharged-based)
66.08 (Admission-based)</t>
  </si>
  <si>
    <t>266.416
(Discharged-based)
269.555 (Rehabilitation-based)
62.12 (Admission-based)</t>
  </si>
  <si>
    <t>269.01
(Discharged-based)
271.97 (Rehabilitation-based)
144.29 (Admission-based)</t>
  </si>
  <si>
    <t>180.0 
(Discharged-based)</t>
  </si>
  <si>
    <t>178.64 (Discharged-based)
218.55 (Admission-based)</t>
  </si>
  <si>
    <t>416.60 (Discharged-based)
121.00 (Admission-based)</t>
  </si>
  <si>
    <t>183.53 (Discharged-based)
140.00 (Admission-based)</t>
  </si>
  <si>
    <t>262.25 (Discharged-based)
178.00 (Admission-based)</t>
  </si>
  <si>
    <t>359.62 (Discharged-based)
177.00 (Admission-based)</t>
  </si>
  <si>
    <t>245.88 (Discharged-based)
597.20 (Admission-based)</t>
  </si>
  <si>
    <t>322.94 (Discharged-based)
169.26 (Admission-based)</t>
  </si>
  <si>
    <t>182 (Discharged-based)
650.80 (Admission-based)</t>
  </si>
  <si>
    <t>353.5
(Discharged-based)
214.0 (Admission-based)</t>
  </si>
  <si>
    <t>302.23
(Discharged-based)
281.47 (Admission-based)</t>
  </si>
  <si>
    <t>The 9th Cycle SFP Implementation just started last August 13, 2019.</t>
  </si>
  <si>
    <t xml:space="preserve">        a. 8th Cycle Implementation</t>
  </si>
  <si>
    <t>Targeting is based on the number of enrollees. However, during actual feeding, there are more children who attended CDCs and SNPs.</t>
  </si>
  <si>
    <t>Ongoing data validation</t>
  </si>
  <si>
    <t>Out of 105,253 target beneficiaries, only the clean list of 164,515 social pensioners were downloaded from Central Office.
Ongoing 2nd semester payout for the remaining 13 LGUs in Misamis Occidental.</t>
  </si>
  <si>
    <t>Ongoing consolidation of the client satisfaction survey</t>
  </si>
  <si>
    <t>No separate survey forms for MTA</t>
  </si>
  <si>
    <t>It was observed that there is an increasing trend of clients who sought assistance under AICS. The CIU has already overachieved their annual target for the clients served. The positive variance is because of the referrals from the government hospitals and LGUs</t>
  </si>
  <si>
    <t xml:space="preserve">Most of the unpaid are from conduit areas which consist of 57,059 beneficiaries.
No sex-disaggregated data since Land Bank is the one preparing the list of names of the beneficiaries. </t>
  </si>
  <si>
    <t>Ongoing construction of  twelve (12) subprojects and three (3) subprojects are still under accounts payable.</t>
  </si>
  <si>
    <t>Endorsed only</t>
  </si>
  <si>
    <t>100%
(35/35)</t>
  </si>
  <si>
    <t>Relief assistance for the affected families were provided and delivered on time to the respective LGUs or requesting party.</t>
  </si>
  <si>
    <t>Four (4) batches of training on Incident Command System (ICS) Executive Course were conducted to the Regional QRT members.</t>
  </si>
  <si>
    <t>30,000 stockpiles of food and non- food items in two warehouses</t>
  </si>
  <si>
    <t>Only LGU San Fernando who has not yet able to conduct pay-out due to lacking submission of required documents.</t>
  </si>
  <si>
    <t>Provided augmentation support to Region 11 and 12 after the 6.9 magnitude earthquake.</t>
  </si>
  <si>
    <t>No request for ESA for the 4th quarter</t>
  </si>
  <si>
    <t>Applicants are still complying with the requirements.</t>
  </si>
  <si>
    <t>No applications received for registration.</t>
  </si>
  <si>
    <t>3</t>
  </si>
  <si>
    <t>Not applicable to FOs</t>
  </si>
  <si>
    <t>50%+1 of LSWDOs assessed for the 1st round Assessment using the Enhanced LSWDO Service Delivery Assessment Tool</t>
  </si>
  <si>
    <t>This is the result of the validation assessment conducted by the Regional Monitoring Team (RMT) last August-September on the new Service Delivery Assessment tool.</t>
  </si>
  <si>
    <t>Regional TARA Plan 2020-2022 was submitted on 24 October 2019. Activities according to TARA Plan will commence the first quarter of 2020.</t>
  </si>
  <si>
    <t>Resource Augmentation under Disaster, please refer to OO3 report.</t>
  </si>
  <si>
    <t>10% 
(1 Province)
(1/10)</t>
  </si>
  <si>
    <t>30% 
(1 Province, 
1 NGA,
1 CSO/NGO)
(3/10)</t>
  </si>
  <si>
    <t>40% 
(1 Province,
1 HUC, 
1 NGA,
1 CSO/NGO)
(4/10)</t>
  </si>
  <si>
    <t>80% 
(3 Provinces,
1 HUC, 
2 NGAs,
2 CSO/NGO)
(8/10)</t>
  </si>
  <si>
    <t>For FY 2019, the unit will be focused on hiring area coordinators, area supervisors and enumerators for the 1st semester in CY 2019 in preparation for the upcoming Listahanan 3. Hiring of encoders, verifiers and encoder supervisors will be done in 2nd semester.</t>
  </si>
  <si>
    <t>There are still areas to be assessed.</t>
  </si>
  <si>
    <t>There will be no special validation for CY 2019 because of Listahanan 3. On the other hand, about 83,496 target households for the validation phase.</t>
  </si>
  <si>
    <t>First compliance of audit recommendations is not yet conducted</t>
  </si>
  <si>
    <t>18 vehicles 
5 motorcycles</t>
  </si>
  <si>
    <t>15 vehicles 
5 motorcycles</t>
  </si>
  <si>
    <t>22 vehicles 
5 motorcycles</t>
  </si>
  <si>
    <t>The PO for the system to be used for digitization was already served last December 2019. 
Sorting of files is still ongoing.</t>
  </si>
  <si>
    <t>Disposal of valueless records is by sack as per National Archives of the Philippines (NAP) for easy computation as to volume.
Still waiting for the approval of NAP for the disposal of files.</t>
  </si>
  <si>
    <t>b.1 Current Year</t>
  </si>
  <si>
    <t>b.2 Prior Years</t>
  </si>
  <si>
    <t>As of December 31, 2018</t>
  </si>
  <si>
    <t>Variance as of December 31, 2018</t>
  </si>
  <si>
    <t>SWDI not yet conducted as of 4th quarter of 2018</t>
  </si>
  <si>
    <t>a. Survival to Subsistence</t>
  </si>
  <si>
    <t>b. Subsistence to Self-Sufficiency</t>
  </si>
  <si>
    <t>c. Survival to Self-Sufficiency</t>
  </si>
  <si>
    <t>Percentage of Pantawid Pamilya children who returned to school</t>
  </si>
  <si>
    <t>Percentage of Pantawid Pamilya households that availed key health services</t>
  </si>
  <si>
    <t>Commmunity participation rate in KC-NCDDP areas sustained (Given participation average rate: at least 80%)</t>
  </si>
  <si>
    <t>Number of SLP households assisted through the Microenterprise Development Track</t>
  </si>
  <si>
    <t>Number of SLP households assisted through Employment Facilitation Track</t>
  </si>
  <si>
    <t>Number of KC-NCDDP sub-projects completed</t>
  </si>
  <si>
    <t>Number of households that benefitted from completed KC-NCDDP sub-projects</t>
  </si>
  <si>
    <t>Percentage of Pantawid Pamilya community members employed in KC-NCDDP sub-projects</t>
  </si>
  <si>
    <t>87.6 (Discharged-based)
1941.0 (Admission-Based)</t>
  </si>
  <si>
    <t>495.7 (Discharged-based)
694.0 (Admission-Based)</t>
  </si>
  <si>
    <r>
      <rPr>
        <rFont val="Arial"/>
        <color theme="1"/>
        <sz val="12.0"/>
      </rPr>
      <t xml:space="preserve">452.2 </t>
    </r>
    <r>
      <rPr>
        <rFont val="Arial"/>
        <color theme="1"/>
        <sz val="9.0"/>
      </rPr>
      <t>(Discharged-based)</t>
    </r>
    <r>
      <rPr>
        <rFont val="Arial"/>
        <color theme="1"/>
        <sz val="12.0"/>
      </rPr>
      <t xml:space="preserve">
388.9 </t>
    </r>
    <r>
      <rPr>
        <rFont val="Arial"/>
        <color theme="1"/>
        <sz val="9.0"/>
      </rPr>
      <t>(Admission-Based)</t>
    </r>
  </si>
  <si>
    <r>
      <rPr>
        <rFont val="Arial"/>
        <color theme="1"/>
        <sz val="12.0"/>
      </rPr>
      <t xml:space="preserve">318.0 </t>
    </r>
    <r>
      <rPr>
        <rFont val="Arial"/>
        <color theme="1"/>
        <sz val="9.0"/>
      </rPr>
      <t>(Discharged-based)</t>
    </r>
    <r>
      <rPr>
        <rFont val="Arial"/>
        <color theme="1"/>
        <sz val="12.0"/>
      </rPr>
      <t xml:space="preserve">
1054.0 </t>
    </r>
    <r>
      <rPr>
        <rFont val="Arial"/>
        <color theme="1"/>
        <sz val="9.0"/>
      </rPr>
      <t>(Admission-Based)</t>
    </r>
  </si>
  <si>
    <t>249.51 (Discharged-based)
120.26 (Admission-Based)</t>
  </si>
  <si>
    <r>
      <rPr>
        <rFont val="Arial"/>
        <color theme="1"/>
        <sz val="12.0"/>
      </rPr>
      <t xml:space="preserve">314.79 </t>
    </r>
    <r>
      <rPr>
        <rFont val="Arial"/>
        <color theme="1"/>
        <sz val="9.0"/>
      </rPr>
      <t>(Discharged-based)</t>
    </r>
    <r>
      <rPr>
        <rFont val="Arial"/>
        <color theme="1"/>
        <sz val="12.0"/>
      </rPr>
      <t xml:space="preserve">
69.30 </t>
    </r>
    <r>
      <rPr>
        <rFont val="Arial"/>
        <color theme="1"/>
        <sz val="9.0"/>
      </rPr>
      <t>(Admission-Based)</t>
    </r>
  </si>
  <si>
    <r>
      <rPr>
        <rFont val="Arial"/>
        <color theme="1"/>
        <sz val="12.0"/>
      </rPr>
      <t xml:space="preserve">286.92 </t>
    </r>
    <r>
      <rPr>
        <rFont val="Arial"/>
        <color theme="1"/>
        <sz val="9.0"/>
      </rPr>
      <t>(Discharged-based)</t>
    </r>
    <r>
      <rPr>
        <rFont val="Arial"/>
        <color theme="1"/>
        <sz val="12.0"/>
      </rPr>
      <t xml:space="preserve">
261.72 </t>
    </r>
    <r>
      <rPr>
        <rFont val="Arial"/>
        <color theme="1"/>
        <sz val="9.0"/>
      </rPr>
      <t>(Admission-Based)</t>
    </r>
  </si>
  <si>
    <t>569.17 (Discharged-Based)
417.67 (Admission-Based)</t>
  </si>
  <si>
    <t>425.48 (Discharged-based)
470.93 (Admission-Based)</t>
  </si>
  <si>
    <r>
      <rPr>
        <rFont val="Arial"/>
        <color theme="1"/>
        <sz val="12.0"/>
      </rPr>
      <t xml:space="preserve">236.71 </t>
    </r>
    <r>
      <rPr>
        <rFont val="Arial"/>
        <color theme="1"/>
        <sz val="9.0"/>
      </rPr>
      <t>(Discharged-based)</t>
    </r>
    <r>
      <rPr>
        <rFont val="Arial"/>
        <color theme="1"/>
        <sz val="12.0"/>
      </rPr>
      <t xml:space="preserve">
178.20 </t>
    </r>
    <r>
      <rPr>
        <rFont val="Arial"/>
        <color theme="1"/>
        <sz val="9.0"/>
      </rPr>
      <t>(Admission-Based)</t>
    </r>
  </si>
  <si>
    <r>
      <rPr>
        <rFont val="Arial"/>
        <color theme="1"/>
        <sz val="12.0"/>
      </rPr>
      <t xml:space="preserve">120.40 </t>
    </r>
    <r>
      <rPr>
        <rFont val="Arial"/>
        <color theme="1"/>
        <sz val="9.0"/>
      </rPr>
      <t>(Discharged-based)</t>
    </r>
    <r>
      <rPr>
        <rFont val="Arial"/>
        <color theme="1"/>
        <sz val="12.0"/>
      </rPr>
      <t xml:space="preserve">
139.60 </t>
    </r>
    <r>
      <rPr>
        <rFont val="Arial"/>
        <color theme="1"/>
        <sz val="9.0"/>
      </rPr>
      <t>(Admission-Based)</t>
    </r>
  </si>
  <si>
    <t>188.86 (Discharged-Based)
216.50 (Admission-Based)</t>
  </si>
  <si>
    <t>362.69 (Discharged-Based)
514.80 (Admission-Based)</t>
  </si>
  <si>
    <r>
      <rPr>
        <rFont val="Arial"/>
        <color theme="1"/>
        <sz val="12.0"/>
      </rPr>
      <t xml:space="preserve">79.44 </t>
    </r>
    <r>
      <rPr>
        <rFont val="Arial"/>
        <color theme="1"/>
        <sz val="10.0"/>
      </rPr>
      <t>(Discharged-Based)</t>
    </r>
    <r>
      <rPr>
        <rFont val="Arial"/>
        <color theme="1"/>
        <sz val="12.0"/>
      </rPr>
      <t xml:space="preserve">
213.18 </t>
    </r>
    <r>
      <rPr>
        <rFont val="Arial"/>
        <color theme="1"/>
        <sz val="10.0"/>
      </rPr>
      <t>(Admission-Based)</t>
    </r>
  </si>
  <si>
    <r>
      <rPr>
        <rFont val="Arial"/>
        <color theme="1"/>
        <sz val="12.0"/>
      </rPr>
      <t xml:space="preserve">230.73 </t>
    </r>
    <r>
      <rPr>
        <rFont val="Arial"/>
        <color theme="1"/>
        <sz val="10.0"/>
      </rPr>
      <t>(Discharged-Based)</t>
    </r>
    <r>
      <rPr>
        <rFont val="Arial"/>
        <color theme="1"/>
        <sz val="12.0"/>
      </rPr>
      <t xml:space="preserve">
160.29 </t>
    </r>
    <r>
      <rPr>
        <rFont val="Arial"/>
        <color theme="1"/>
        <sz val="10.0"/>
      </rPr>
      <t>(Admission-Based)</t>
    </r>
  </si>
  <si>
    <t>a.     Client-Social Worker Ratio</t>
  </si>
  <si>
    <t xml:space="preserve"> increasing admissions of CICLs due to violation of RA 9165 "Comprehensive Dangerous Drugs Act" in RRCY</t>
  </si>
  <si>
    <t xml:space="preserve">   a.1 RSCC</t>
  </si>
  <si>
    <t xml:space="preserve">   a.2 RRCY</t>
  </si>
  <si>
    <t xml:space="preserve">   a.3 Home for Girls</t>
  </si>
  <si>
    <t xml:space="preserve">   a.4 Haven for Women</t>
  </si>
  <si>
    <t>b. Client-Houseparent Ratio</t>
  </si>
  <si>
    <t xml:space="preserve">   b.1 RSCC</t>
  </si>
  <si>
    <t>1:5/1:10</t>
  </si>
  <si>
    <t xml:space="preserve">   b.2 RRCY</t>
  </si>
  <si>
    <t xml:space="preserve">   b.3 Home for Girls</t>
  </si>
  <si>
    <t xml:space="preserve">   b.4 Haven for Women</t>
  </si>
  <si>
    <t>No result yet. Cycle 8 implementation will end on June 2019.</t>
  </si>
  <si>
    <t>c. Overweight to Normal</t>
  </si>
  <si>
    <t>Percentage of children in CDCs and SNPs with sustained normal nutritional status</t>
  </si>
  <si>
    <t>Targeting is based on the number of enrollees. However, during actual feeding, there are more children who attended CDCs and SNPs. However, there is still 1 LGU who have unliquidated fund balance hence, 8th cycle SFP fund allocation are pending for fund transfer</t>
  </si>
  <si>
    <t>Number of children served through BangUn Program</t>
  </si>
  <si>
    <t>Clients served includes the Pregnant and Lactating Women (PLW) which is 491. Negative variance is because BangUn weren't able to find PWL clients.</t>
  </si>
  <si>
    <t>As per Social Pension Unit-X, there is still no tool yet to measure this particular indicator. They resort to estimation during the 1st and 2nd quarter reports.</t>
  </si>
  <si>
    <t>There are still LGUs whose funds are yet to be downloaded because these LGUs has still unliquidated funds. This holding of funds is compliance to COA circular No. 94-013.</t>
  </si>
  <si>
    <t>Number of senior citizens with Social Pension</t>
  </si>
  <si>
    <t>Percentage of clients who rated protective services provided as satisfactory or better</t>
  </si>
  <si>
    <t>No update for 4th quarter</t>
  </si>
  <si>
    <t>As of 4th quarter, eleven (11) LGUs have approved project proposals, of these, five municipalities are from Lanao del Norte namely; Lala, Matungao, Baroy, Linamon and Tagoloan, four municipalities from Misamis Oriental namely; Alubijid, Villanueva, Naawan and Talisayan, one from Misamis Occidental, Tangub City and one from Bukidnon the municipality of Cabanglasan.</t>
  </si>
  <si>
    <t>a.   Adults</t>
  </si>
  <si>
    <t>a. Children Placed Out for Domestic Adoption</t>
  </si>
  <si>
    <t>b. Children Placed Out for Foster Care</t>
  </si>
  <si>
    <t>c. Children Endorsed for Inter-country Adoption</t>
  </si>
  <si>
    <t xml:space="preserve">Conducted 3 rescue operations in Iligan City which resulted to more clients served. </t>
  </si>
  <si>
    <t>Number of distressed and undocumented overseas Filipinos provided with social welfare services:</t>
  </si>
  <si>
    <t>The 2nd and 3rd batch of QRT Training was conducted last October 8-10 and October 11-12, 2018 respectively at Pearlmont Hotel, Cagayan de Oro City.</t>
  </si>
  <si>
    <t>Central Office directed FO 10 for additional beneficiaries of RRP- CCAM which the DRMD- 10 identified and added 4 LGUs involved on the implementation of Cash for Work under RRP-CCAM.</t>
  </si>
  <si>
    <t>As per Standards Unit, Service Providers only includes PMCs and SWMCCs.</t>
  </si>
  <si>
    <t>There were no complaints received for this quarter.</t>
  </si>
  <si>
    <t>85% of LSWDOs assessed for the 1st round Assessment using the Enhanced LSWDO Functionality Tool</t>
  </si>
  <si>
    <t xml:space="preserve">The pilot testing of the LSWDO Service Delivery Assessment Tool was conducted last December 27, 2018 at Municipality of Salay in Misamis Oriental. </t>
  </si>
  <si>
    <t>100%
 (98 LGUs)</t>
  </si>
  <si>
    <t>No tool yet to measure this indicator</t>
  </si>
  <si>
    <t>a.     Medium-term Plans</t>
  </si>
  <si>
    <t>Three (3) pilot LGUs adopted the pilot projects re: Buklod Paglaum Para sa CICL (PLGU Mis. Occ.), and CFB (LGU Naawan &amp; Lagonglong). Major positive variance for the accomplishment for 2018 is due to the incorrect set target. It was found out that the 7% is from the number of completed social technologies piloted to the intermediaries, not the number of intermediaries adopting the completed social technology.</t>
  </si>
  <si>
    <t>100% 
(4 Provinces
2 HUCs)</t>
  </si>
  <si>
    <t xml:space="preserve">33.33% 
(2 Provinces) </t>
  </si>
  <si>
    <t>Ongoing facilitation of Data Sharing to the Provinces and HUCs of Region 10</t>
  </si>
  <si>
    <t xml:space="preserve"> -</t>
  </si>
  <si>
    <t>3rd Round Household Assessment is scheduled on CY 2019</t>
  </si>
  <si>
    <t>Number of households assessed for special validation</t>
  </si>
  <si>
    <t>Special validation done last May.</t>
  </si>
  <si>
    <t>IAS cares will start on November 2018</t>
  </si>
  <si>
    <t>Legal Services Unit in the FO just functioned last week. The unit will start to submit reports on the next quarter.</t>
  </si>
  <si>
    <t>18 vehicles                5 motorcycles</t>
  </si>
  <si>
    <t>15 vehicles
5 motorcycles</t>
  </si>
  <si>
    <t>18 vehicles and 5 motorcycles</t>
  </si>
  <si>
    <t>90% disposed and 50% digitized</t>
  </si>
  <si>
    <t>75% digitized
50% disposed</t>
  </si>
  <si>
    <t>75% digitized
75% disposed</t>
  </si>
  <si>
    <t>As of December 31, 2017</t>
  </si>
  <si>
    <t>Variance as of Dec 31, 2017</t>
  </si>
  <si>
    <t>MFO 1: Social Protection Policy Services</t>
  </si>
  <si>
    <t>No. of policies disseminated</t>
  </si>
  <si>
    <t>Percentage of policies that are updated, issued, and disseminated in the last three (3) years</t>
  </si>
  <si>
    <t>No. of Regional SPDR updated annually</t>
  </si>
  <si>
    <t>No. of research developed / enhanced / implemented / completed</t>
  </si>
  <si>
    <t>a.</t>
  </si>
  <si>
    <t>No. of research proposal endorsed to Central Office</t>
  </si>
  <si>
    <t>b.</t>
  </si>
  <si>
    <t>No. of research implemented</t>
  </si>
  <si>
    <t>c.</t>
  </si>
  <si>
    <t>No. of research completed</t>
  </si>
  <si>
    <t>No. of policy/research fora conducted</t>
  </si>
  <si>
    <t>Social Technology Developed</t>
  </si>
  <si>
    <r>
      <rPr>
        <rFont val="Arial"/>
        <color theme="1"/>
        <sz val="10.0"/>
      </rPr>
      <t xml:space="preserve">No. of Completed Social Technologies </t>
    </r>
    <r>
      <rPr>
        <rFont val="Arial"/>
        <b/>
        <color rgb="FF000000"/>
        <sz val="10.0"/>
      </rPr>
      <t>(FO initiated)</t>
    </r>
  </si>
  <si>
    <r>
      <rPr>
        <rFont val="Arial"/>
        <color theme="1"/>
        <sz val="10.0"/>
      </rPr>
      <t xml:space="preserve">No. of social technologies initiated by </t>
    </r>
    <r>
      <rPr>
        <rFont val="Arial"/>
        <b/>
        <color rgb="FF000000"/>
        <sz val="10.0"/>
      </rPr>
      <t>Field Offices</t>
    </r>
  </si>
  <si>
    <t>No. of concept paper/program designed/guidelines for pilot-testing developed</t>
  </si>
  <si>
    <t>No. of social technology - on-going pilot testing</t>
  </si>
  <si>
    <t>No. of social technology guidelines developed</t>
  </si>
  <si>
    <t>d.</t>
  </si>
  <si>
    <t xml:space="preserve">No. of manual developed and/or finalized </t>
  </si>
  <si>
    <t>e.</t>
  </si>
  <si>
    <t>No. of project documentation completed</t>
  </si>
  <si>
    <t>f.</t>
  </si>
  <si>
    <t>No. of completed Social Technology replicated to LGUs</t>
  </si>
  <si>
    <t>A. CHILDREN</t>
  </si>
  <si>
    <t>Total No. of Children served</t>
  </si>
  <si>
    <t>1.</t>
  </si>
  <si>
    <t>No. of CNSP served</t>
  </si>
  <si>
    <t xml:space="preserve">  0  to less than 1</t>
  </si>
  <si>
    <t xml:space="preserve">  1  to below      5</t>
  </si>
  <si>
    <t xml:space="preserve">  5  to below    10</t>
  </si>
  <si>
    <t>10  to below    14</t>
  </si>
  <si>
    <t>14  to below    18</t>
  </si>
  <si>
    <t>18 and above</t>
  </si>
  <si>
    <t>a. Abandoned</t>
  </si>
  <si>
    <t>b. Neglected</t>
  </si>
  <si>
    <t>c. Voluntary Committed / Surrendered</t>
  </si>
  <si>
    <t>d. Sexually-abused</t>
  </si>
  <si>
    <t>Rape</t>
  </si>
  <si>
    <t>Incest</t>
  </si>
  <si>
    <t>Acts of Lasciviousness</t>
  </si>
  <si>
    <t>e. Sexually-exploited</t>
  </si>
  <si>
    <t>Victims of Pedophilia</t>
  </si>
  <si>
    <t>Victims of Prostitution</t>
  </si>
  <si>
    <t>Victims of Pornography</t>
  </si>
  <si>
    <t>Victims of Cyber Pornography</t>
  </si>
  <si>
    <t>Victims of Sexual Harassment</t>
  </si>
  <si>
    <t>f. Physically-abused / maltreated /battered</t>
  </si>
  <si>
    <t>g. Children in Situations of Armed Conflict</t>
  </si>
  <si>
    <t>Affected</t>
  </si>
  <si>
    <t>Involved</t>
  </si>
  <si>
    <t>h. Victims of Child Labor</t>
  </si>
  <si>
    <t>i. Victims of Child Trafficking</t>
  </si>
  <si>
    <t>j. Street Children</t>
  </si>
  <si>
    <t>a. Street Living</t>
  </si>
  <si>
    <t>b. Street Working</t>
  </si>
  <si>
    <t>c. Children on the Street</t>
  </si>
  <si>
    <t>k. Victims of Illegal recruitment</t>
  </si>
  <si>
    <t>l. Children with HIV / AIDS</t>
  </si>
  <si>
    <t>m. Psychologically/Emotionally Abused</t>
  </si>
  <si>
    <t xml:space="preserve">n. Children with Disabilities </t>
  </si>
  <si>
    <t>Orthopedically handicapped</t>
  </si>
  <si>
    <t>Hearing/speech impaired</t>
  </si>
  <si>
    <t>Visually impaired</t>
  </si>
  <si>
    <t>Mentally challenged</t>
  </si>
  <si>
    <t xml:space="preserve"> Other handicapped</t>
  </si>
  <si>
    <t>2.</t>
  </si>
  <si>
    <t>No. of CNSP provided with the following services</t>
  </si>
  <si>
    <t>Medical Assistance</t>
  </si>
  <si>
    <t>Burial Assistance</t>
  </si>
  <si>
    <t>Transportation Assistance</t>
  </si>
  <si>
    <t>Educational assistance</t>
  </si>
  <si>
    <t>Psychological evaluation</t>
  </si>
  <si>
    <t>Food Subsidy (Hot Meals)</t>
  </si>
  <si>
    <t>g.</t>
  </si>
  <si>
    <t>Counseling</t>
  </si>
  <si>
    <t>h.</t>
  </si>
  <si>
    <t>Referral</t>
  </si>
  <si>
    <t>i</t>
  </si>
  <si>
    <t>Others (Pls. Specify)</t>
  </si>
  <si>
    <t>Economic assistance</t>
  </si>
  <si>
    <t>Livelihood Assistance</t>
  </si>
  <si>
    <t>Home Visit/Interview</t>
  </si>
  <si>
    <t>Food and Non-Food Assistance</t>
  </si>
  <si>
    <t>3.</t>
  </si>
  <si>
    <t>No. of children provided with Travel Clearance</t>
  </si>
  <si>
    <t>4.</t>
  </si>
  <si>
    <t>No. of children served thru Child Placement Services:</t>
  </si>
  <si>
    <t>a. Placed-Out for Adoption</t>
  </si>
  <si>
    <t>Issued with CDCLAA</t>
  </si>
  <si>
    <t>Issued with PAPA</t>
  </si>
  <si>
    <t>Issued with ACA</t>
  </si>
  <si>
    <t>Cleared for Inter-Country Adoption (ICA)</t>
  </si>
  <si>
    <t>b. Placed-Out for Foster Care</t>
  </si>
  <si>
    <t>With Subsidy</t>
  </si>
  <si>
    <t>Without Subsidy</t>
  </si>
  <si>
    <t>c. Legal Guardianship</t>
  </si>
  <si>
    <t>5.</t>
  </si>
  <si>
    <t>Other CNSP cases served (Displaced Children)</t>
  </si>
  <si>
    <t>Displaced Childred</t>
  </si>
  <si>
    <t>CICL</t>
  </si>
  <si>
    <t>6.</t>
  </si>
  <si>
    <t>Other Services provided (Acted Referrals)</t>
  </si>
  <si>
    <t>B. WOMEN</t>
  </si>
  <si>
    <t>No. of women served</t>
  </si>
  <si>
    <t>( 18 &lt; 60 yrs. Old )</t>
  </si>
  <si>
    <t>Sexually-abused</t>
  </si>
  <si>
    <t>Physically-abused / maltreated /battered</t>
  </si>
  <si>
    <t>Victims of illegal recruitment</t>
  </si>
  <si>
    <t>Victims of involuntary prostitution</t>
  </si>
  <si>
    <t>Victims of armed conflict</t>
  </si>
  <si>
    <t>Victims of trafficking</t>
  </si>
  <si>
    <t>Economic Abused/ Deprived</t>
  </si>
  <si>
    <t>Emotionally Abused</t>
  </si>
  <si>
    <t>Custody Supervision</t>
  </si>
  <si>
    <t>Victim of Illegal Recruitment (Men Adult)</t>
  </si>
  <si>
    <t>Accused of RA 9165 (Illegal Drug)</t>
  </si>
  <si>
    <t>No. of women provided with:</t>
  </si>
  <si>
    <t>Psychiatric evaluation</t>
  </si>
  <si>
    <t>Legal services</t>
  </si>
  <si>
    <t>i.</t>
  </si>
  <si>
    <t>Referrals</t>
  </si>
  <si>
    <t>j.</t>
  </si>
  <si>
    <t>Others (Please specify)</t>
  </si>
  <si>
    <t>Economic Assistance</t>
  </si>
  <si>
    <t>Manifestation Report to Court</t>
  </si>
  <si>
    <t>Family Food Packs</t>
  </si>
  <si>
    <t>Financial Assistance</t>
  </si>
  <si>
    <t>C. FAMILY</t>
  </si>
  <si>
    <t>Unduplicated no. of families served</t>
  </si>
  <si>
    <t>1. Foster Families</t>
  </si>
  <si>
    <t>Unduplicted no. of foster families served</t>
  </si>
  <si>
    <t>a. Applicants</t>
  </si>
  <si>
    <t>b. Licensed</t>
  </si>
  <si>
    <t>Active</t>
  </si>
  <si>
    <t>a) With Subsidy</t>
  </si>
  <si>
    <t>b) Without Subsidy</t>
  </si>
  <si>
    <t>Inactive</t>
  </si>
  <si>
    <t>2. Adoptive Families</t>
  </si>
  <si>
    <t>Unduplicated no. of adoptive families served</t>
  </si>
  <si>
    <t>b. Approved</t>
  </si>
  <si>
    <t>c. Matched</t>
  </si>
  <si>
    <t>3. Solo Parent</t>
  </si>
  <si>
    <t>Unduplicated no. of Solo Parent served</t>
  </si>
  <si>
    <t>3.1 Type of services provided to Solo Parent.  Pls. Specify</t>
  </si>
  <si>
    <t>b. 'Burial Assistance</t>
  </si>
  <si>
    <t>c. 'Transportation Assistance</t>
  </si>
  <si>
    <t>d. Counseling</t>
  </si>
  <si>
    <t>e. Referral</t>
  </si>
  <si>
    <t>f. Home Visit</t>
  </si>
  <si>
    <t>g.  Home Study Report</t>
  </si>
  <si>
    <t>D. OTHER CLIENTS</t>
  </si>
  <si>
    <t>Unduplicated no. of other clients served</t>
  </si>
  <si>
    <t>1. Unduplicated no. of PWDs served</t>
  </si>
  <si>
    <t>1.1. No. of PWDs provided with the following services</t>
  </si>
  <si>
    <t>d. 'Food Subsidy (Hot Meals)</t>
  </si>
  <si>
    <t>e. 'Counseling</t>
  </si>
  <si>
    <t>f. '(Insert other type of services)</t>
  </si>
  <si>
    <t>g. '(Insert other type of services)</t>
  </si>
  <si>
    <t>h. '(Insert other type of services)</t>
  </si>
  <si>
    <t>2. Unduplicated no. of Senior Citizens served</t>
  </si>
  <si>
    <t>2.1. No. of SCs provided with the following services</t>
  </si>
  <si>
    <t>a. 'Medical Assistance</t>
  </si>
  <si>
    <t>f. 'Counseling</t>
  </si>
  <si>
    <t>g. Centenarian</t>
  </si>
  <si>
    <t>i. '(Insert other type of services)</t>
  </si>
  <si>
    <t>3. Unduplicated no. of M/WEDC served</t>
  </si>
  <si>
    <t>3.1. No. of M/WEDC provided with the following services</t>
  </si>
  <si>
    <t>f. Home Study Report for Court</t>
  </si>
  <si>
    <t>g. Referral</t>
  </si>
  <si>
    <t>h.  Home Visit</t>
  </si>
  <si>
    <t>g.  Skills Training Program for Drug Dependents/Users</t>
  </si>
  <si>
    <t>3. Unduplicated no. of Youth served</t>
  </si>
  <si>
    <t>3.1. No. of Youth provided with the following services</t>
  </si>
  <si>
    <t>f. 'Educational Assistance</t>
  </si>
  <si>
    <t>4. Unduplicated no. of OFWs served abroad</t>
  </si>
  <si>
    <t>4.1. No. of OFWs provided with the following services</t>
  </si>
  <si>
    <t>f. Financial Assistance</t>
  </si>
  <si>
    <t>5. Unduplicated no. of OFWs served locally</t>
  </si>
  <si>
    <t>5.1. No. of OFWs provided with the following services</t>
  </si>
  <si>
    <t>f. Food and Non-food assistance</t>
  </si>
  <si>
    <t>g. Financial Assistance</t>
  </si>
  <si>
    <t>h. Referrals</t>
  </si>
  <si>
    <t>ASSISTANCE TO INDIVIDUALS IN CRISIS SITUATION</t>
  </si>
  <si>
    <t>I. CLIENTS SERVED THROUGH CRISIS INTERVENTION UNITS</t>
  </si>
  <si>
    <t>Unduplicated no. of clients served</t>
  </si>
  <si>
    <t>a. CNSP</t>
  </si>
  <si>
    <t>b. Youth</t>
  </si>
  <si>
    <t>c. M/WEDC</t>
  </si>
  <si>
    <t>d. PWDs</t>
  </si>
  <si>
    <t>e. Senior Citizens</t>
  </si>
  <si>
    <t>f. Others (Please specify)</t>
  </si>
  <si>
    <t>Services provided to the following clients:</t>
  </si>
  <si>
    <t>Educational Assistance</t>
  </si>
  <si>
    <t>Food and Non-Food</t>
  </si>
  <si>
    <t>c. WEDC</t>
  </si>
  <si>
    <t>d. PWD</t>
  </si>
  <si>
    <t>FOOD &amp; NON-FOOD</t>
  </si>
  <si>
    <t>EDUCATIONAL ASSISTANCE</t>
  </si>
  <si>
    <t>f. Others (PL-HIV)</t>
  </si>
  <si>
    <t xml:space="preserve">MFO 2: SOCIAL PROTECTION SERVICES </t>
  </si>
  <si>
    <t>PROGRAMS / PROJECTS WITH IMPLEMENTATION SUPPORT FROM LGUs</t>
  </si>
  <si>
    <t>Supplementary Feeding Program (SFP)</t>
  </si>
  <si>
    <t>QUANTITY</t>
  </si>
  <si>
    <t>No. of day care/Supervised Neighborhood Play children provided with supplementary feeding</t>
  </si>
  <si>
    <t>141,935 (7th cycle)</t>
  </si>
  <si>
    <t>QUALITY</t>
  </si>
  <si>
    <t>Percentage of day care children with maintained normal nutritional status</t>
  </si>
  <si>
    <t>Percentage of school children with improved nutritional status</t>
  </si>
  <si>
    <t>TIMELINESS</t>
  </si>
  <si>
    <t>Percentage of day care/school children provided with timely feeding sessions</t>
  </si>
  <si>
    <t>Recovery and Reintegration Program for Trafficked Persons (RRPTP)</t>
  </si>
  <si>
    <t>No. of trafficked persons assisted</t>
  </si>
  <si>
    <t>Percentage of clients provided with  assistance/service within the prescribed time</t>
  </si>
  <si>
    <t>Social Pension Program for Indigent Senior Citizens</t>
  </si>
  <si>
    <t>No. of indigent senior citizens provided with social pension</t>
  </si>
  <si>
    <t>Percentage of beneficiaries for the last three years who were found ineligible</t>
  </si>
  <si>
    <t>Percentage of indigent senior citizens who received grants on the scheduled pay-out</t>
  </si>
  <si>
    <r>
      <rPr>
        <rFont val="Arial"/>
        <b/>
        <color theme="1"/>
        <sz val="10.0"/>
      </rPr>
      <t xml:space="preserve">Comprehensive Program for Street Children, Street Families and Indigenous People (IPs) especially Bajaus </t>
    </r>
    <r>
      <rPr>
        <rFont val="Arial"/>
        <b/>
        <i/>
        <color theme="1"/>
        <sz val="10.0"/>
      </rPr>
      <t>(Locally-Funded Project)</t>
    </r>
  </si>
  <si>
    <t>No. of street children served</t>
  </si>
  <si>
    <t>No. of Bajau children served</t>
  </si>
  <si>
    <t>No. of street families served</t>
  </si>
  <si>
    <t>No. of Bajau families served</t>
  </si>
  <si>
    <t>Percentage of ineligible street children served</t>
  </si>
  <si>
    <t xml:space="preserve">Percentage of ineligible Bajau children served </t>
  </si>
  <si>
    <t>Percentage of ineligible street families served</t>
  </si>
  <si>
    <t xml:space="preserve">Percentage of ineligible Bajau families served </t>
  </si>
  <si>
    <t>Percentage of street children provided with comprehensive services within the prescribed time</t>
  </si>
  <si>
    <t>Percentage of Sama-Bajau children provided with comprehensive services within the prescribed time</t>
  </si>
  <si>
    <t>Percentage of street families provided with comprehensive services within the prescribed time</t>
  </si>
  <si>
    <t>Percentage of Sama-Bajau families provided with comprehensive services within the prescribed time</t>
  </si>
  <si>
    <t>Disaster Relief Assistance</t>
  </si>
  <si>
    <t>Number of families/individuals provided with relief assistance</t>
  </si>
  <si>
    <t>Percentage of ineligible families/individuals provided with relief assistance</t>
  </si>
  <si>
    <t>Percentage of families/individuals provided with relief assistance within three to five (3-5) days</t>
  </si>
  <si>
    <t>DSWD CORE PROGRAMS (TATSULO)</t>
  </si>
  <si>
    <t>Pantawid Pamilyang Pilipino Program (Pantawid)</t>
  </si>
  <si>
    <t>No. of household beneficiaries served</t>
  </si>
  <si>
    <t>Percentage of beneficiaries who were found ineligible</t>
  </si>
  <si>
    <t>Percentage of enrolled beneficiaries receiving cash grants within approved timeline</t>
  </si>
  <si>
    <t>Pantawid Pamilyang Pilipino Program - CCT extended Coverage until High School</t>
  </si>
  <si>
    <t>Number of children beneficiaries</t>
  </si>
  <si>
    <t>HS 12 to 14 years old</t>
  </si>
  <si>
    <t>HS 15 to 18 years old</t>
  </si>
  <si>
    <t>Pantawid Pamilyang Pilipino Program - Modified Conditional Cash Transfer (MCCT)</t>
  </si>
  <si>
    <t>No. households beneficiaries (homeless street families and IP households) served</t>
  </si>
  <si>
    <t>Percentage of homeless street families receiving cash grants within approved timeline</t>
  </si>
  <si>
    <t>Sustainable Livelihood Program (SLP)</t>
  </si>
  <si>
    <t>Number of families served thru Microenterprise Development</t>
  </si>
  <si>
    <t>Number of  families served thru Employment Facilitation for at least 3 months</t>
  </si>
  <si>
    <t>Percentage of ineligible Pantawid and Non-Pantawid families served thru Microenterprise Development</t>
  </si>
  <si>
    <t>Percentage of ineligible Pantawid  and Non-Pantawid families served thru Employment Facilitation</t>
  </si>
  <si>
    <t xml:space="preserve">Percentage of families served with existing microenterprise for at least one year </t>
  </si>
  <si>
    <t>Percentage of families served  thru Employment Facilitation who are employed for at least 6 months</t>
  </si>
  <si>
    <t>Percentage of families served thru Microenterprise Development and Employment Facilitation one month after capacity building</t>
  </si>
  <si>
    <t>National Community-Driven Development Program (NCDDP)</t>
  </si>
  <si>
    <t>No. of completed community sub-projects (DROM and NON-DROM)</t>
  </si>
  <si>
    <t>No. of completed community sub-projects (AUSAID/DFAT)</t>
  </si>
  <si>
    <t>*No more AUSAID/DFAT projects for 2017</t>
  </si>
  <si>
    <t>No. of completed community sub-projects (PAMANA 2014-2016)</t>
  </si>
  <si>
    <t>No. of household beneficiaries from completed sub-projects</t>
  </si>
  <si>
    <t xml:space="preserve">86,725
</t>
  </si>
  <si>
    <t>No. of Household beneficiaries from completed sub-projects (PAMANA 2015)</t>
  </si>
  <si>
    <t>Percentage of completed sub-projects within a given period</t>
  </si>
  <si>
    <t>CENTERS</t>
  </si>
  <si>
    <t>Haven for Women</t>
  </si>
  <si>
    <t>Reception Study Center for Children</t>
  </si>
  <si>
    <t>MFO 3: CAPACITY BUILDING SERVICES</t>
  </si>
  <si>
    <t>PI SET 1</t>
  </si>
  <si>
    <t>No. of persons provided with training services</t>
  </si>
  <si>
    <t>-persons/actual participants coming from:</t>
  </si>
  <si>
    <t>a. LGUs</t>
  </si>
  <si>
    <t>b. NGOs</t>
  </si>
  <si>
    <t>c. POs</t>
  </si>
  <si>
    <t>d. NGAs</t>
  </si>
  <si>
    <t>e. Volunteers</t>
  </si>
  <si>
    <t>% of trainees who rate training courses satisfactory or better</t>
  </si>
  <si>
    <t>% of training courses completed as designed</t>
  </si>
  <si>
    <t>PI SET 2</t>
  </si>
  <si>
    <t>No. of intermediaries provided with technical assistance</t>
  </si>
  <si>
    <t>% of intermediaries who rate assistance as good or better</t>
  </si>
  <si>
    <t>% of technical services provided within 15 days upon receipt of request</t>
  </si>
  <si>
    <t>PI SET 3</t>
  </si>
  <si>
    <t>No. of intermediaries provided with resource augmentation</t>
  </si>
  <si>
    <t>% of recipients who rate assistance as good or better</t>
  </si>
  <si>
    <t>% of request for resource augmentation acted within three to five (3 to 5) working days upon receipt of  request</t>
  </si>
  <si>
    <t>MFO 4: REGULATORY SERVICES</t>
  </si>
  <si>
    <t>1,</t>
  </si>
  <si>
    <t xml:space="preserve">No. of SWDAs assessed and registered      </t>
  </si>
  <si>
    <t>1.1</t>
  </si>
  <si>
    <t>No. of SWDAs assessed</t>
  </si>
  <si>
    <t>1.2</t>
  </si>
  <si>
    <r>
      <rPr>
        <rFont val="Arial"/>
        <color theme="1"/>
        <sz val="12.0"/>
      </rPr>
      <t xml:space="preserve">No. of SWDAs Registered              </t>
    </r>
    <r>
      <rPr>
        <rFont val="Arial"/>
        <i/>
        <color rgb="FF000000"/>
        <sz val="12.0"/>
      </rPr>
      <t xml:space="preserve"> </t>
    </r>
  </si>
  <si>
    <t xml:space="preserve">No. of SWAs assessed and licensed </t>
  </si>
  <si>
    <t>2.1</t>
  </si>
  <si>
    <t>No. of SWAs assessed</t>
  </si>
  <si>
    <t>2.2</t>
  </si>
  <si>
    <t xml:space="preserve">No. of SWAs licensed </t>
  </si>
  <si>
    <t>No. of  SWAs assessed and  endorsed</t>
  </si>
  <si>
    <t>3.1</t>
  </si>
  <si>
    <t>No. of SWAs  assessed</t>
  </si>
  <si>
    <t>3.2</t>
  </si>
  <si>
    <t>No. of SWAs endorsed</t>
  </si>
  <si>
    <t>No. of Service Providers assessed and Endorsed</t>
  </si>
  <si>
    <t>4.1</t>
  </si>
  <si>
    <t>No. of PMC assessed</t>
  </si>
  <si>
    <t>4.2</t>
  </si>
  <si>
    <t>No. of SWMCC assessed</t>
  </si>
  <si>
    <t>4.3</t>
  </si>
  <si>
    <t>No. of PMC endorsed</t>
  </si>
  <si>
    <t>4.4</t>
  </si>
  <si>
    <t>No. of SWMCC endorsed</t>
  </si>
  <si>
    <t>5</t>
  </si>
  <si>
    <t>DCC/DCW assessed/accredited</t>
  </si>
  <si>
    <t>5.1</t>
  </si>
  <si>
    <t>DCC/DCW assessed</t>
  </si>
  <si>
    <t>5.2</t>
  </si>
  <si>
    <t>DCC/DCW accredited</t>
  </si>
  <si>
    <t>6</t>
  </si>
  <si>
    <t>Solicitation Permit Application Assessed/Issued/Monitored</t>
  </si>
  <si>
    <t>6.1</t>
  </si>
  <si>
    <t>No. of solicication permit applications assessed</t>
  </si>
  <si>
    <t>6.2</t>
  </si>
  <si>
    <t>No. of solicitation permit issued</t>
  </si>
  <si>
    <t>6.3</t>
  </si>
  <si>
    <t>No. of solicitation permit applications endorsed to SB</t>
  </si>
  <si>
    <t>No. of issued solicitation permit monitored</t>
  </si>
  <si>
    <t>7.</t>
  </si>
  <si>
    <t>No. of Duty Free requests assessed/endorsed/monitored</t>
  </si>
  <si>
    <t>7.1</t>
  </si>
  <si>
    <t>No. of Duty Free requests assessed</t>
  </si>
  <si>
    <t>7.2</t>
  </si>
  <si>
    <t>No. of assessed Duty Free requests endorsed to SB-Central Office</t>
  </si>
  <si>
    <t>7.3</t>
  </si>
  <si>
    <t>No. of Duty Free applications endorsed to DoF monitored</t>
  </si>
  <si>
    <t>8.</t>
  </si>
  <si>
    <t>No. of complaints received and acted upon</t>
  </si>
  <si>
    <t>No. of complaints received</t>
  </si>
  <si>
    <t>No. of complaints acted upon</t>
  </si>
  <si>
    <t>% of complaints received acted upon</t>
  </si>
  <si>
    <t>% of complaints received acted upon within seven (7) working days</t>
  </si>
  <si>
    <t>As of December 31, 2016</t>
  </si>
  <si>
    <t>Variance as of _______</t>
  </si>
  <si>
    <r>
      <rPr>
        <rFont val="Arial"/>
        <color theme="1"/>
        <sz val="10.0"/>
      </rPr>
      <t xml:space="preserve">No. of Completed Social Technologies </t>
    </r>
    <r>
      <rPr>
        <rFont val="Arial"/>
        <b/>
        <color rgb="FF000000"/>
        <sz val="10.0"/>
      </rPr>
      <t>(FO initiated)</t>
    </r>
  </si>
  <si>
    <r>
      <rPr>
        <rFont val="Arial"/>
        <color theme="1"/>
        <sz val="10.0"/>
      </rPr>
      <t xml:space="preserve">No. of social technologies initiated by </t>
    </r>
    <r>
      <rPr>
        <rFont val="Arial"/>
        <b/>
        <color rgb="FF000000"/>
        <sz val="10.0"/>
      </rPr>
      <t>Field Offices</t>
    </r>
  </si>
  <si>
    <t>MFO 2A: Social Protection Services (Direct Services, Statutory, AICS)</t>
  </si>
  <si>
    <t>Other Services provided (Counseling)</t>
  </si>
  <si>
    <t>d. 'Counseling</t>
  </si>
  <si>
    <t>e. '(Insert other type of services)</t>
  </si>
  <si>
    <t>Non-Food</t>
  </si>
  <si>
    <t>N/A</t>
  </si>
  <si>
    <r>
      <rPr>
        <rFont val="Arial"/>
        <b/>
        <color theme="1"/>
        <sz val="10.0"/>
      </rPr>
      <t xml:space="preserve">Comprehensive Program for Street Children, Street Families and Indigenous People (IPs) especially Bajaus </t>
    </r>
    <r>
      <rPr>
        <rFont val="Arial"/>
        <b/>
        <i/>
        <color theme="1"/>
        <sz val="10.0"/>
      </rPr>
      <t>(Locally-Funded Project)</t>
    </r>
  </si>
  <si>
    <t>No. of completed community sub-projects (PAMANA)</t>
  </si>
  <si>
    <t>No. of Household beneficiaries from completed sub-projects (PAMANA)</t>
  </si>
  <si>
    <r>
      <rPr>
        <rFont val="Arial"/>
        <color theme="1"/>
        <sz val="12.0"/>
      </rPr>
      <t xml:space="preserve">No. of SWDAs Registered              </t>
    </r>
    <r>
      <rPr>
        <rFont val="Arial"/>
        <i/>
        <color rgb="FF000000"/>
        <sz val="12.0"/>
      </rPr>
      <t xml:space="preserve"> </t>
    </r>
  </si>
  <si>
    <t>As of December 31, 2015</t>
  </si>
  <si>
    <t>No. of research proposal developed / enhanced</t>
  </si>
  <si>
    <r>
      <rPr>
        <rFont val="Arial"/>
        <color theme="1"/>
        <sz val="10.0"/>
      </rPr>
      <t xml:space="preserve">No. of Completed Social Technologies </t>
    </r>
    <r>
      <rPr>
        <rFont val="Arial"/>
        <b/>
        <color rgb="FF000000"/>
        <sz val="10.0"/>
      </rPr>
      <t>(FO initiated)</t>
    </r>
  </si>
  <si>
    <r>
      <rPr>
        <rFont val="Arial"/>
        <color theme="1"/>
        <sz val="10.0"/>
      </rPr>
      <t xml:space="preserve">No. of social technologies initiated by </t>
    </r>
    <r>
      <rPr>
        <rFont val="Arial"/>
        <b/>
        <color rgb="FF000000"/>
        <sz val="10.0"/>
      </rPr>
      <t>Field Offices</t>
    </r>
  </si>
  <si>
    <t>Toarget for Community Based Clients (CNSP, WEDC, etc.)= 60</t>
  </si>
  <si>
    <t>Target 18,000</t>
  </si>
  <si>
    <r>
      <rPr>
        <rFont val="Arial"/>
        <b/>
        <color theme="1"/>
        <sz val="10.0"/>
      </rPr>
      <t xml:space="preserve">Comprehensive Program for Street Children, Street Families and Indigenous People (IPs) especially Bajaus </t>
    </r>
    <r>
      <rPr>
        <rFont val="Arial"/>
        <b/>
        <i/>
        <color theme="1"/>
        <sz val="10.0"/>
      </rPr>
      <t>(Locally-Funded Project)</t>
    </r>
  </si>
  <si>
    <r>
      <rPr>
        <rFont val="Arial"/>
        <color theme="1"/>
        <sz val="12.0"/>
      </rPr>
      <t xml:space="preserve">No. of SWDAs Registered              </t>
    </r>
    <r>
      <rPr>
        <rFont val="Arial"/>
        <i/>
        <color rgb="FF000000"/>
        <sz val="12.0"/>
      </rPr>
      <t xml:space="preserve"> </t>
    </r>
  </si>
  <si>
    <t>No. of soilicication permit applications assessed</t>
  </si>
  <si>
    <t>ana</t>
  </si>
  <si>
    <t>As of December 31, 2014</t>
  </si>
  <si>
    <r>
      <rPr>
        <rFont val="Arial"/>
        <color theme="1"/>
        <sz val="10.0"/>
      </rPr>
      <t xml:space="preserve">No. of Completed Social Technologies </t>
    </r>
    <r>
      <rPr>
        <rFont val="Arial"/>
        <b/>
        <color rgb="FF000000"/>
        <sz val="10.0"/>
      </rPr>
      <t>(FO initiated)</t>
    </r>
  </si>
  <si>
    <r>
      <rPr>
        <rFont val="Arial"/>
        <color theme="1"/>
        <sz val="10.0"/>
      </rPr>
      <t xml:space="preserve">No. of social technologies initiated by </t>
    </r>
    <r>
      <rPr>
        <rFont val="Arial"/>
        <b/>
        <color rgb="FF000000"/>
        <sz val="10.0"/>
      </rPr>
      <t>Field Offices</t>
    </r>
  </si>
  <si>
    <t>Food Assistance</t>
  </si>
  <si>
    <t>Legal Service</t>
  </si>
  <si>
    <t>economic</t>
  </si>
  <si>
    <t>emotionally battered</t>
  </si>
  <si>
    <t>abandoned</t>
  </si>
  <si>
    <t>Food Packs</t>
  </si>
  <si>
    <t>Livelihood</t>
  </si>
  <si>
    <t>Other Emergency Assistance</t>
  </si>
  <si>
    <t>Food packs</t>
  </si>
  <si>
    <r>
      <rPr>
        <rFont val="Arial"/>
        <b/>
        <color theme="1"/>
        <sz val="10.0"/>
      </rPr>
      <t xml:space="preserve">Comprehensive Program for Street Children, Street Families and Indigenous People (IPs) especially Bajaus </t>
    </r>
    <r>
      <rPr>
        <rFont val="Arial"/>
        <b/>
        <i/>
        <color theme="1"/>
        <sz val="10.0"/>
      </rPr>
      <t>(Locally-Funded Project)</t>
    </r>
  </si>
  <si>
    <t>432 Families</t>
  </si>
  <si>
    <t>No. of completed community sub-projects</t>
  </si>
  <si>
    <t>No. of family beneficiaries from completed sub-projects</t>
  </si>
  <si>
    <t>d. Stakeholders</t>
  </si>
  <si>
    <t>e. NGAs</t>
  </si>
  <si>
    <t>f. Volunteers</t>
  </si>
  <si>
    <r>
      <rPr>
        <rFont val="Arial"/>
        <color theme="1"/>
        <sz val="12.0"/>
      </rPr>
      <t xml:space="preserve">No. of SWDAs Registered              </t>
    </r>
    <r>
      <rPr>
        <rFont val="Arial"/>
        <i/>
        <color rgb="FF000000"/>
        <sz val="12.0"/>
      </rPr>
      <t xml:space="preserve"> </t>
    </r>
  </si>
  <si>
    <t>None</t>
  </si>
  <si>
    <t>As of December 31, 2013</t>
  </si>
  <si>
    <t>MFO 1: SERVICES RELATING TO FORMULATION, ADVOCACY OF SWD PLANS, POLICIES AND PROGRAMS</t>
  </si>
  <si>
    <t>No. of Social Protection Development Report (SPDR)</t>
  </si>
  <si>
    <t>National</t>
  </si>
  <si>
    <t>Regional</t>
  </si>
  <si>
    <t>No. of Plans enhanced/updated</t>
  </si>
  <si>
    <t>DSWD</t>
  </si>
  <si>
    <t>DSWD Plan of Action for Children</t>
  </si>
  <si>
    <t>DSWD Plan of Action for Youth</t>
  </si>
  <si>
    <t>Gender and Development Plan</t>
  </si>
  <si>
    <t>DSWD Plan of Action for PWDs</t>
  </si>
  <si>
    <t>DSWD Plan of Action for the Filipino Family</t>
  </si>
  <si>
    <t>DSWD Plan of Action for Older Persons</t>
  </si>
  <si>
    <t>Inter-agency</t>
  </si>
  <si>
    <t>Regional Plan of Action for the Filipino Family</t>
  </si>
  <si>
    <t>Regional Plan of Action for Older Persons</t>
  </si>
  <si>
    <t>No. of LGUs SWD sectoral plans integrated in:</t>
  </si>
  <si>
    <t>Comprehensive Development Plan (CDP)</t>
  </si>
  <si>
    <t>Youth</t>
  </si>
  <si>
    <t>Gender and Development</t>
  </si>
  <si>
    <t>Persons with Disabilities</t>
  </si>
  <si>
    <t>Family</t>
  </si>
  <si>
    <t>Older Persons</t>
  </si>
  <si>
    <t>Annual Investment Plan (AIP)</t>
  </si>
  <si>
    <t>No. of policy, guidelines,  position papers prepared</t>
  </si>
  <si>
    <t>Guidelines</t>
  </si>
  <si>
    <t>Legislatve Agenda</t>
  </si>
  <si>
    <t>Policy Reform</t>
  </si>
  <si>
    <t>No. of LGUs  complying to national and local laws / policies</t>
  </si>
  <si>
    <t>No. of  social technology developed (To be filled-up by STB &amp; FO)</t>
  </si>
  <si>
    <t>Concept paper/program design completed</t>
  </si>
  <si>
    <t>CO initiated</t>
  </si>
  <si>
    <t>FOs initiated</t>
  </si>
  <si>
    <t>No. of social technology initiated by STB</t>
  </si>
  <si>
    <t>pilot-tested/implemented</t>
  </si>
  <si>
    <t>evaluated</t>
  </si>
  <si>
    <t>completed</t>
  </si>
  <si>
    <t>adopted</t>
  </si>
  <si>
    <t>No. of social technology initiated by FO</t>
  </si>
  <si>
    <t>No. of programs/projects/strategies enhanced as to:</t>
  </si>
  <si>
    <t>design</t>
  </si>
  <si>
    <t>implementation</t>
  </si>
  <si>
    <t>evaluation</t>
  </si>
  <si>
    <t>advocacy / marketing</t>
  </si>
  <si>
    <t>7.5</t>
  </si>
  <si>
    <t>No. of guidelines developed</t>
  </si>
  <si>
    <t>7.6</t>
  </si>
  <si>
    <t>No. of  manual developed and/or finalized</t>
  </si>
  <si>
    <t>Documentation completed</t>
  </si>
  <si>
    <t>No. of intermediaries adopting SWD programs/services/</t>
  </si>
  <si>
    <t>strategy (To be filled-up by STB at CO level)</t>
  </si>
  <si>
    <t>8.1</t>
  </si>
  <si>
    <t>LGUs</t>
  </si>
  <si>
    <t>8.2</t>
  </si>
  <si>
    <t>NGOs</t>
  </si>
  <si>
    <t>POs</t>
  </si>
  <si>
    <t>MFO 2: STANDARDS SETTING, LICENSING AND ACCREDITATION</t>
  </si>
  <si>
    <t>No. of guidelines developed/enriched/implemented  1/ and 2/</t>
  </si>
  <si>
    <t>Developed   1/</t>
  </si>
  <si>
    <t>Enriched  1 ad 2/</t>
  </si>
  <si>
    <t>1.3</t>
  </si>
  <si>
    <t xml:space="preserve">Implemented  1 an 2 </t>
  </si>
  <si>
    <t>No. of SWDAs assessed and registered      1/ and 2/</t>
  </si>
  <si>
    <t>operating in one region</t>
  </si>
  <si>
    <t>operating in more than one region</t>
  </si>
  <si>
    <t>No. of SWDAs Registered</t>
  </si>
  <si>
    <t>operating in one region  2/</t>
  </si>
  <si>
    <t>operating in more than one region  1/</t>
  </si>
  <si>
    <t>3.3</t>
  </si>
  <si>
    <t xml:space="preserve">Percentage of licensed SWA over total </t>
  </si>
  <si>
    <t>number of applicants</t>
  </si>
  <si>
    <t>operating in  more than one region  1/</t>
  </si>
  <si>
    <t>No. of  SWAs assessed and accredited</t>
  </si>
  <si>
    <t>4.1.</t>
  </si>
  <si>
    <t>NGOs  1/</t>
  </si>
  <si>
    <t>No. of SWAs accredited</t>
  </si>
  <si>
    <t xml:space="preserve">a. </t>
  </si>
  <si>
    <t>No. of  centers assessed and accrredited 1 / and 2/</t>
  </si>
  <si>
    <t>No. of centers assessed</t>
  </si>
  <si>
    <t>DCC 1 and 2</t>
  </si>
  <si>
    <t>DSWD 1/ and/2</t>
  </si>
  <si>
    <t xml:space="preserve">LGUs   1/ </t>
  </si>
  <si>
    <t>SCC 1/ and 2/</t>
  </si>
  <si>
    <t>5..2</t>
  </si>
  <si>
    <t>No. of centers accredited 1 /and 2/</t>
  </si>
  <si>
    <t>DCW  2/</t>
  </si>
  <si>
    <t>DSWD 1/</t>
  </si>
  <si>
    <t xml:space="preserve">SCC 1/ </t>
  </si>
  <si>
    <t xml:space="preserve">Percentage of SWAs accredited over total </t>
  </si>
  <si>
    <t>number of SWAs assessed for accreditation</t>
  </si>
  <si>
    <t xml:space="preserve">Service Providers accredited  1/ </t>
  </si>
  <si>
    <t>ECCD Service Providers   2/</t>
  </si>
  <si>
    <t>Social Workers Handling Court Related Cases   1/</t>
  </si>
  <si>
    <t>Marriage Counselors   1/</t>
  </si>
  <si>
    <t>6.4</t>
  </si>
  <si>
    <t>SNP Volunteers</t>
  </si>
  <si>
    <t>No. of solicitation permits assessed/issued  2/</t>
  </si>
  <si>
    <t>No. of solicitation assessed</t>
  </si>
  <si>
    <t>No. of soliciation issued</t>
  </si>
  <si>
    <t>No. of  national fund drives authorized  1/</t>
  </si>
  <si>
    <t>9.</t>
  </si>
  <si>
    <t>No. of Duty Free requests endorsed to Department</t>
  </si>
  <si>
    <t>of Finance  1/and 2/</t>
  </si>
  <si>
    <t xml:space="preserve">9.1 </t>
  </si>
  <si>
    <t>Assessed</t>
  </si>
  <si>
    <t>9.2</t>
  </si>
  <si>
    <t>Endorsed 2/</t>
  </si>
  <si>
    <t>RSCC</t>
  </si>
  <si>
    <t>RRCY</t>
  </si>
  <si>
    <t>MFO 3: SUPPORT SERVICES AND TECHNICAL ASSISTANCE TO INTERMEDIARIES</t>
  </si>
  <si>
    <t>1.1.</t>
  </si>
  <si>
    <t>No. of modules developed</t>
  </si>
  <si>
    <t>1.2.</t>
  </si>
  <si>
    <t>No. of modules enhanced</t>
  </si>
  <si>
    <t>No. of modules utilized by intermediaries</t>
  </si>
  <si>
    <t xml:space="preserve">No. of trainings conducted </t>
  </si>
  <si>
    <t>No. of participants who completed the training coming from:</t>
  </si>
  <si>
    <t xml:space="preserve">b. </t>
  </si>
  <si>
    <t xml:space="preserve">Pos </t>
  </si>
  <si>
    <t>(Youth)</t>
  </si>
  <si>
    <t>volunteers</t>
  </si>
  <si>
    <t>NGAs</t>
  </si>
  <si>
    <t>No. of  intermediaries with training</t>
  </si>
  <si>
    <t>Pos</t>
  </si>
  <si>
    <t>No. of intermediaries provided with technical assistance along:</t>
  </si>
  <si>
    <t>SWD Situationer preparation</t>
  </si>
  <si>
    <t>SWD Plan Preparation</t>
  </si>
  <si>
    <t xml:space="preserve">Case Management                                </t>
  </si>
  <si>
    <t xml:space="preserve">Center Management                               </t>
  </si>
  <si>
    <t>Disaster Management</t>
  </si>
  <si>
    <t>Social Technology</t>
  </si>
  <si>
    <t>Standards Compliance on Registration, Licensing &amp; Accreditation</t>
  </si>
  <si>
    <t>Resource Mobilization / ERGA</t>
  </si>
  <si>
    <t>I.</t>
  </si>
  <si>
    <t>Others, please specify  _________________</t>
  </si>
  <si>
    <t>6.1.</t>
  </si>
  <si>
    <t>MFO 4a: DIRECT SERVICES TO COMMUNITY BASED CLIENTS</t>
  </si>
  <si>
    <t>A.</t>
  </si>
  <si>
    <t>CHILDREN</t>
  </si>
  <si>
    <t>Total No. of Children served   (1+3+4+5)</t>
  </si>
  <si>
    <t>( 0  &lt; 18 yrs. Old )</t>
  </si>
  <si>
    <t>No. of CNSP served (a+b+c+d+e+f+g+h+i+j+k+l+m+n)</t>
  </si>
  <si>
    <t>Children in Need of</t>
  </si>
  <si>
    <t>Special Protection</t>
  </si>
  <si>
    <t xml:space="preserve">(CNSP) </t>
  </si>
  <si>
    <t>Abandoned</t>
  </si>
  <si>
    <t>Neglected</t>
  </si>
  <si>
    <t>Voluntary Committed /</t>
  </si>
  <si>
    <t>Surrendered</t>
  </si>
  <si>
    <t>Sexually-exploited</t>
  </si>
  <si>
    <t>Victims of Cyber</t>
  </si>
  <si>
    <t>Pornography</t>
  </si>
  <si>
    <t>Physically-abused / maltreated /</t>
  </si>
  <si>
    <t>battered</t>
  </si>
  <si>
    <t>Children in Situations of</t>
  </si>
  <si>
    <t>Armed Conflict</t>
  </si>
  <si>
    <t xml:space="preserve">  3  to below      5</t>
  </si>
  <si>
    <t>Victims of Child Labor</t>
  </si>
  <si>
    <t>Victims of Child Trafficking</t>
  </si>
  <si>
    <t>Street Children</t>
  </si>
  <si>
    <t>k.</t>
  </si>
  <si>
    <t>Victims of Illegal recruitment</t>
  </si>
  <si>
    <t>l.</t>
  </si>
  <si>
    <t>Children with HIV / AIDS</t>
  </si>
  <si>
    <t>m.</t>
  </si>
  <si>
    <t xml:space="preserve">Children with Disabilities </t>
  </si>
  <si>
    <t>n.</t>
  </si>
  <si>
    <t>Children in Conflict with the</t>
  </si>
  <si>
    <t>Law (CICL)</t>
  </si>
  <si>
    <t>1)</t>
  </si>
  <si>
    <t>No. of CICL served</t>
  </si>
  <si>
    <t>10  to below    15</t>
  </si>
  <si>
    <t>15  to below    18</t>
  </si>
  <si>
    <t>18  years old and above</t>
  </si>
  <si>
    <t>2)</t>
  </si>
  <si>
    <t>No. of CICL in:</t>
  </si>
  <si>
    <t>- Released on recognizance</t>
  </si>
  <si>
    <t>- Released on bail</t>
  </si>
  <si>
    <t>- Custody supervision</t>
  </si>
  <si>
    <t>- Mediation / Diversion</t>
  </si>
  <si>
    <t>- Others (Pls. Specify)</t>
  </si>
  <si>
    <t>intervention</t>
  </si>
  <si>
    <t>________________</t>
  </si>
  <si>
    <t>3)</t>
  </si>
  <si>
    <t>Types of services provided to</t>
  </si>
  <si>
    <t>Financial assistance</t>
  </si>
  <si>
    <t>Legal</t>
  </si>
  <si>
    <t>No. of CNSP provided with the</t>
  </si>
  <si>
    <t>following services: (a+b+c+d+e+f)</t>
  </si>
  <si>
    <t>Food assistance</t>
  </si>
  <si>
    <t>Medical assistance</t>
  </si>
  <si>
    <t>Travel Clearance</t>
  </si>
  <si>
    <t>No. of children  placed thru</t>
  </si>
  <si>
    <t>Alternative Parental Care: (a+b+c)</t>
  </si>
  <si>
    <t>Adoption</t>
  </si>
  <si>
    <t>Local</t>
  </si>
  <si>
    <t>Inter-Country</t>
  </si>
  <si>
    <t>Foster Care</t>
  </si>
  <si>
    <t>Legal Guardianship</t>
  </si>
  <si>
    <t>Other children served (Please</t>
  </si>
  <si>
    <t>specify)</t>
  </si>
  <si>
    <t>__________________</t>
  </si>
  <si>
    <t xml:space="preserve">Other Services provided </t>
  </si>
  <si>
    <t>(Please specify)</t>
  </si>
  <si>
    <t>Referral for Legal</t>
  </si>
  <si>
    <t>B.</t>
  </si>
  <si>
    <t>WOMEN</t>
  </si>
  <si>
    <t>No. of women served (a+b+c+d+e+f+g)</t>
  </si>
  <si>
    <t>Economic abused</t>
  </si>
  <si>
    <t>emotionally depressed</t>
  </si>
  <si>
    <t>No. of women provided with: (a+b+c+d+e+f+g)</t>
  </si>
  <si>
    <t>______________________</t>
  </si>
  <si>
    <t>C.</t>
  </si>
  <si>
    <t>FAMILY</t>
  </si>
  <si>
    <t>No. of families served (1+2+3+4+5)</t>
  </si>
  <si>
    <t>Foster Families</t>
  </si>
  <si>
    <t>No, of foster families served</t>
  </si>
  <si>
    <t>Applicants</t>
  </si>
  <si>
    <t>Licensed</t>
  </si>
  <si>
    <t>a)</t>
  </si>
  <si>
    <t>b)</t>
  </si>
  <si>
    <t>Adoptive Families</t>
  </si>
  <si>
    <t>No. of adoptive families served</t>
  </si>
  <si>
    <t>Approved</t>
  </si>
  <si>
    <t>Matched</t>
  </si>
  <si>
    <t>Victims of Disaster</t>
  </si>
  <si>
    <t>Unduplicated no. of families</t>
  </si>
  <si>
    <t>who were victims of disaster</t>
  </si>
  <si>
    <t>(c/o DROMIC)</t>
  </si>
  <si>
    <t>3.1.</t>
  </si>
  <si>
    <t>No. of families provided with:</t>
  </si>
  <si>
    <t>financial assistance</t>
  </si>
  <si>
    <t>ESA</t>
  </si>
  <si>
    <t>relief goods</t>
  </si>
  <si>
    <t>counseling</t>
  </si>
  <si>
    <t>food for work</t>
  </si>
  <si>
    <t>cash for work</t>
  </si>
  <si>
    <t>3.2.</t>
  </si>
  <si>
    <t>No. of families rehabilitated</t>
  </si>
  <si>
    <t xml:space="preserve">4. </t>
  </si>
  <si>
    <t>Internally Displaced</t>
  </si>
  <si>
    <t>Unduplicated no. of IDF served</t>
  </si>
  <si>
    <t>Families (IDF)</t>
  </si>
  <si>
    <t>core shelter support/ESA</t>
  </si>
  <si>
    <t>relief services</t>
  </si>
  <si>
    <t xml:space="preserve">Other services </t>
  </si>
  <si>
    <t>Cash  for work</t>
  </si>
  <si>
    <t>4.2.</t>
  </si>
  <si>
    <t>Solo Parent</t>
  </si>
  <si>
    <t>No. of Unduplicated Solo</t>
  </si>
  <si>
    <t>Parent served</t>
  </si>
  <si>
    <t>Type of services provided</t>
  </si>
  <si>
    <t>to Solo Parent.  Pls. Specify</t>
  </si>
  <si>
    <t>Counselling</t>
  </si>
  <si>
    <t>___________________</t>
  </si>
  <si>
    <t>D.</t>
  </si>
  <si>
    <t>OVERSEAS FILIPINO</t>
  </si>
  <si>
    <t xml:space="preserve">Unduplicated no. of OFWs </t>
  </si>
  <si>
    <t>WORKERS (OFWs)</t>
  </si>
  <si>
    <t>served abroad</t>
  </si>
  <si>
    <t>No. of services provided: (a+b+c+d+e)</t>
  </si>
  <si>
    <t>CISD</t>
  </si>
  <si>
    <t>AICS financial assistance</t>
  </si>
  <si>
    <t>served locally</t>
  </si>
  <si>
    <t>2.1.</t>
  </si>
  <si>
    <t>E.</t>
  </si>
  <si>
    <t>OTHERS CLIENTS</t>
  </si>
  <si>
    <t>No. of other clients served (a+b+c+d+e+f)</t>
  </si>
  <si>
    <t>(Please specify the programs /</t>
  </si>
  <si>
    <t>services provided)</t>
  </si>
  <si>
    <t xml:space="preserve">FHONA </t>
  </si>
  <si>
    <t>Acted Referrals (DSSD)</t>
  </si>
  <si>
    <t>CNSP</t>
  </si>
  <si>
    <t>Acted referrals (DSSD)</t>
  </si>
  <si>
    <t>WEDC</t>
  </si>
  <si>
    <t>PWDs</t>
  </si>
  <si>
    <t>Clinical Assistance</t>
  </si>
  <si>
    <t>CRISIS INTERVENTION</t>
  </si>
  <si>
    <t>Unduplicated no. of clients</t>
  </si>
  <si>
    <t>UNIT (CIU)</t>
  </si>
  <si>
    <t>served (a+b+c+d+e+f+g)</t>
  </si>
  <si>
    <t>FHONA</t>
  </si>
  <si>
    <t>0 to below 14</t>
  </si>
  <si>
    <t>14 to below 18</t>
  </si>
  <si>
    <t>18 to below 30</t>
  </si>
  <si>
    <t>30 to below 60</t>
  </si>
  <si>
    <t>60 and above</t>
  </si>
  <si>
    <t xml:space="preserve">  0 to below 15</t>
  </si>
  <si>
    <t>15 to below 18</t>
  </si>
  <si>
    <t>60 to below 71</t>
  </si>
  <si>
    <t>71 to below 80</t>
  </si>
  <si>
    <t>80 and above</t>
  </si>
  <si>
    <t>No. of services provided to: (a+b+c+d+e+f+g)</t>
  </si>
  <si>
    <t>Other emergency assistance</t>
  </si>
  <si>
    <t>Transportation assistance</t>
  </si>
  <si>
    <t>Balik Probinsya</t>
  </si>
  <si>
    <t>Burial assistance</t>
  </si>
  <si>
    <t>Burial</t>
  </si>
  <si>
    <t>Financial service</t>
  </si>
  <si>
    <t>other emergency</t>
  </si>
  <si>
    <t>Legal service</t>
  </si>
  <si>
    <t>Educational assist</t>
  </si>
  <si>
    <t>Shelter assistance</t>
  </si>
  <si>
    <t>Other emegency assistance</t>
  </si>
  <si>
    <t>SELF-EMPLOYMENT</t>
  </si>
  <si>
    <t>No. of SEA-Ks organized  (a+b)</t>
  </si>
  <si>
    <t>ASSISTANCE-</t>
  </si>
  <si>
    <t>Level I</t>
  </si>
  <si>
    <t>KAUNLARAN (SEA-K)</t>
  </si>
  <si>
    <t>Level II</t>
  </si>
  <si>
    <t>PROGRAM</t>
  </si>
  <si>
    <t>No. of families provided with</t>
  </si>
  <si>
    <t>SEA-Ks  (a+b)</t>
  </si>
  <si>
    <t>No. of SEA-K Level II accessed</t>
  </si>
  <si>
    <t>to formal funding institutions</t>
  </si>
  <si>
    <t>Foreign Assisted Projects</t>
  </si>
  <si>
    <t>KALAHI- CIDSS</t>
  </si>
  <si>
    <t>No. of areas covered</t>
  </si>
  <si>
    <t>Provinces</t>
  </si>
  <si>
    <t>Municipalities</t>
  </si>
  <si>
    <t>Barangays</t>
  </si>
  <si>
    <t xml:space="preserve">No. of community development projects implemented </t>
  </si>
  <si>
    <t>1.2.1</t>
  </si>
  <si>
    <t>School Buildings</t>
  </si>
  <si>
    <t>1.2.2</t>
  </si>
  <si>
    <t>Health Centers</t>
  </si>
  <si>
    <t>1.2.3</t>
  </si>
  <si>
    <t>Water System</t>
  </si>
  <si>
    <t>1.2.4</t>
  </si>
  <si>
    <t>Farm to Market Road</t>
  </si>
  <si>
    <t>1.2.5</t>
  </si>
  <si>
    <t>Bridge</t>
  </si>
  <si>
    <t>1.2.6</t>
  </si>
  <si>
    <t>Common Service</t>
  </si>
  <si>
    <t>1.2.7</t>
  </si>
  <si>
    <t>Day Care</t>
  </si>
  <si>
    <t>1.2.8</t>
  </si>
  <si>
    <t>Drainage</t>
  </si>
  <si>
    <t>1.2.9</t>
  </si>
  <si>
    <t>Electrification</t>
  </si>
  <si>
    <t>1.2.10</t>
  </si>
  <si>
    <t>Irrigation</t>
  </si>
  <si>
    <t>1.2.11</t>
  </si>
  <si>
    <t>Multi-Purpose</t>
  </si>
  <si>
    <t>1.2.12</t>
  </si>
  <si>
    <t>Post Harvest</t>
  </si>
  <si>
    <t>1.2.13</t>
  </si>
  <si>
    <t>Others  (Please specify)</t>
  </si>
  <si>
    <t>Corn sheller w/ warehouse</t>
  </si>
  <si>
    <t>Foot trail concreting</t>
  </si>
  <si>
    <t>________________________________</t>
  </si>
  <si>
    <t>1.4</t>
  </si>
  <si>
    <t>No. of Barangays instituting the KALAHI-CIDSS approach</t>
  </si>
  <si>
    <t>1.5</t>
  </si>
  <si>
    <t>No. of brgys. that fully implemented the KALAHI-CIDSS program</t>
  </si>
  <si>
    <t>1.6</t>
  </si>
  <si>
    <t>No. of LGUs adopting KALAHI-CIDSS strategy</t>
  </si>
  <si>
    <t>Poder y Prosperidad dela Communidad</t>
  </si>
  <si>
    <t xml:space="preserve">   (Funded by Agencia Espanola)</t>
  </si>
  <si>
    <t>2.1.1</t>
  </si>
  <si>
    <t xml:space="preserve">     Regions III,V and CARAGA</t>
  </si>
  <si>
    <t>2.1.2</t>
  </si>
  <si>
    <t>2.2.1</t>
  </si>
  <si>
    <t>2.2.2</t>
  </si>
  <si>
    <t>2.2.3</t>
  </si>
  <si>
    <t>2.2.4</t>
  </si>
  <si>
    <t>2.2.5</t>
  </si>
  <si>
    <t>Others (pls. Specify)</t>
  </si>
  <si>
    <t>UN World Food Programme-Assisted Project</t>
  </si>
  <si>
    <t>No. of families served</t>
  </si>
  <si>
    <t xml:space="preserve">Emergency Operations Philippines-Assistance </t>
  </si>
  <si>
    <t>No. of LGUs benefitted</t>
  </si>
  <si>
    <t xml:space="preserve"> to Armed Conflict Affected Mindanao in</t>
  </si>
  <si>
    <t>3.3.</t>
  </si>
  <si>
    <t>No. of children served</t>
  </si>
  <si>
    <t>ARMM, Region X, and Region XII</t>
  </si>
  <si>
    <t>3.3.1</t>
  </si>
  <si>
    <t>Day Care Center</t>
  </si>
  <si>
    <t>3.3.2</t>
  </si>
  <si>
    <t>Elementary School</t>
  </si>
  <si>
    <t>3.3.3</t>
  </si>
  <si>
    <t>Primary School</t>
  </si>
  <si>
    <t>Access to Justice for the Poor Program</t>
  </si>
  <si>
    <t>No. of trainings / workshops conducted</t>
  </si>
  <si>
    <t xml:space="preserve"> (Regions IV-B, V, VI, X, and XII)</t>
  </si>
  <si>
    <t>No. of participants trained</t>
  </si>
  <si>
    <t>4.2.1</t>
  </si>
  <si>
    <t>Volunteers</t>
  </si>
  <si>
    <t>4.2.2</t>
  </si>
  <si>
    <t>Day Care Workers</t>
  </si>
  <si>
    <t>4.2.3</t>
  </si>
  <si>
    <t>Police Officers</t>
  </si>
  <si>
    <t>4.2.4</t>
  </si>
  <si>
    <t>Women</t>
  </si>
  <si>
    <t>UNFPA  - Strengthening Government Mechanisms</t>
  </si>
  <si>
    <t>No. of training/workshop conducted</t>
  </si>
  <si>
    <t xml:space="preserve"> to Mainstream Gender in the Reproductive Health</t>
  </si>
  <si>
    <t>No. of implementers trained</t>
  </si>
  <si>
    <t>and Anti-VAWC Programs</t>
  </si>
  <si>
    <t>5.3</t>
  </si>
  <si>
    <t>No. of reported cases of VAWC</t>
  </si>
  <si>
    <t xml:space="preserve"> ( Regions III,V,VII,XII CAR  and ARMM)</t>
  </si>
  <si>
    <t>5.4</t>
  </si>
  <si>
    <t>Types of services provided.  (Please specify)</t>
  </si>
  <si>
    <t>UNODC United Nations Office for Drug and  Crimes</t>
  </si>
  <si>
    <t>No. of victims/witnesses served</t>
  </si>
  <si>
    <t xml:space="preserve">Support for Victims/Witness of Trafficking in Human </t>
  </si>
  <si>
    <t xml:space="preserve">Service provided to victims-survivors: </t>
  </si>
  <si>
    <t>Beings in the Philippines</t>
  </si>
  <si>
    <t>6.2.1</t>
  </si>
  <si>
    <t>Residential Care Service</t>
  </si>
  <si>
    <t>(Regions III, VIII, and IX)</t>
  </si>
  <si>
    <t>6.2.2</t>
  </si>
  <si>
    <t>Community-based Service</t>
  </si>
  <si>
    <t>New  Zealand  Aid-Assisted Project</t>
  </si>
  <si>
    <t xml:space="preserve"> Expansion of Project Hope for Badjaus</t>
  </si>
  <si>
    <t>No. of CORE Shelter constructed</t>
  </si>
  <si>
    <t>Families in Zamboanga City</t>
  </si>
  <si>
    <t xml:space="preserve">Families provided with: </t>
  </si>
  <si>
    <t>7.3.1</t>
  </si>
  <si>
    <t>Skills training</t>
  </si>
  <si>
    <t>7.3.2</t>
  </si>
  <si>
    <t>7.3.3</t>
  </si>
  <si>
    <t>Liberating the Indigenous People from Indignity (LIPI)</t>
  </si>
  <si>
    <t>UNDP-Assisted Project</t>
  </si>
  <si>
    <t>No. of families/children affected by HIV / AIDS</t>
  </si>
  <si>
    <t xml:space="preserve"> Care Support Services for Persons</t>
  </si>
  <si>
    <t>No. of Persons with HIV / AIDs served</t>
  </si>
  <si>
    <t>with HIV/AIDS (PHA) with the Family and</t>
  </si>
  <si>
    <t>8.2.1</t>
  </si>
  <si>
    <t>Livelihood / Educational / Burial Assistance</t>
  </si>
  <si>
    <t>Children (Regions III and NCR)</t>
  </si>
  <si>
    <t>8.2.2</t>
  </si>
  <si>
    <t>Alternative family care</t>
  </si>
  <si>
    <t>8.2.4</t>
  </si>
  <si>
    <t>Values on Home-Based Care</t>
  </si>
  <si>
    <t>Ahon Pamilyang Pilipino</t>
  </si>
  <si>
    <t>9.1</t>
  </si>
  <si>
    <t>No. of 6 -14 years old children in school</t>
  </si>
  <si>
    <t>9.3</t>
  </si>
  <si>
    <t>No. of children attending school</t>
  </si>
  <si>
    <t>9.4</t>
  </si>
  <si>
    <t>No. of children immunized</t>
  </si>
  <si>
    <t>9.5</t>
  </si>
  <si>
    <t>No. of pregnant women availed of pre-natal services</t>
  </si>
  <si>
    <t>9.6</t>
  </si>
  <si>
    <t>No. of non-pregnant women attending:</t>
  </si>
  <si>
    <t>9.6.1</t>
  </si>
  <si>
    <t>Parent Effectiveness Sessions</t>
  </si>
  <si>
    <t>9.6.2</t>
  </si>
  <si>
    <t>Planning Sessions</t>
  </si>
  <si>
    <t>9.6.3</t>
  </si>
  <si>
    <t>Nutrition and others</t>
  </si>
  <si>
    <t>Locally Funded Projects</t>
  </si>
  <si>
    <t>Food for School Program (Day Care Center</t>
  </si>
  <si>
    <t>No. of children beneficiaries provided with 1 kilo of rice</t>
  </si>
  <si>
    <t>for Children)</t>
  </si>
  <si>
    <t xml:space="preserve">Tindahan Natin </t>
  </si>
  <si>
    <t>No. of  Tindahan Natin Outlets established</t>
  </si>
  <si>
    <t>No. of  families served by Tindahan Natin Outlets</t>
  </si>
  <si>
    <t xml:space="preserve">SEA-K Program Level II </t>
  </si>
  <si>
    <t>No. of SEA-K Funded Projects</t>
  </si>
  <si>
    <t>No. of beneficiaries  (Families)</t>
  </si>
  <si>
    <t>Capital Assistance Provided</t>
  </si>
  <si>
    <t>Core Shelter Assistance Project</t>
  </si>
  <si>
    <t xml:space="preserve">No. of families served  </t>
  </si>
  <si>
    <t>No. of core shelter units constructed</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</si>
</sst>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_);\(0\)"/>
    <numFmt numFmtId="165" formatCode="0.0"/>
    <numFmt numFmtId="166" formatCode="0.0%"/>
    <numFmt numFmtId="167" formatCode="0.0000%"/>
  </numFmts>
  <fonts count="42">
    <font>
      <sz val="11.0"/>
      <color theme="1"/>
      <name val="Calibri"/>
      <scheme val="minor"/>
    </font>
    <font>
      <sz val="11.0"/>
      <color theme="1"/>
      <name val="Arial"/>
    </font>
    <font>
      <b/>
      <sz val="13.0"/>
      <color theme="1"/>
      <name val="Arial"/>
    </font>
    <font/>
    <font>
      <b/>
      <sz val="14.0"/>
      <color theme="1"/>
      <name val="Arial"/>
    </font>
    <font>
      <sz val="14.0"/>
      <color theme="1"/>
      <name val="Arial"/>
    </font>
    <font>
      <b/>
      <sz val="11.0"/>
      <color theme="1"/>
      <name val="Arial"/>
    </font>
    <font>
      <b/>
      <sz val="10.0"/>
      <color theme="1"/>
      <name val="Arial"/>
    </font>
    <font>
      <sz val="10.0"/>
      <color theme="1"/>
      <name val="Arial"/>
    </font>
    <font>
      <sz val="11.0"/>
      <color theme="1"/>
      <name val="Calibri"/>
    </font>
    <font>
      <b/>
      <sz val="11.0"/>
      <color theme="1"/>
      <name val="Calibri"/>
    </font>
    <font>
      <sz val="10.0"/>
      <color rgb="FFFF0000"/>
      <name val="Arial"/>
    </font>
    <font>
      <color theme="1"/>
      <name val="Calibri"/>
      <scheme val="minor"/>
    </font>
    <font>
      <i/>
      <sz val="11.0"/>
      <color theme="1"/>
      <name val="Calibri"/>
    </font>
    <font>
      <i/>
      <sz val="10.0"/>
      <color theme="1"/>
      <name val="Arial"/>
    </font>
    <font>
      <b/>
      <i/>
      <sz val="10.0"/>
      <color theme="1"/>
      <name val="Arial"/>
    </font>
    <font>
      <sz val="10.0"/>
      <color theme="1"/>
      <name val="Calibri"/>
    </font>
    <font>
      <sz val="12.0"/>
      <color theme="1"/>
      <name val="Arial"/>
    </font>
    <font>
      <sz val="9.0"/>
      <color theme="1"/>
      <name val="Arial"/>
    </font>
    <font>
      <u/>
      <sz val="10.0"/>
      <color theme="1"/>
      <name val="Arial"/>
    </font>
    <font>
      <sz val="18.0"/>
      <color theme="1"/>
      <name val="Calibri"/>
    </font>
    <font>
      <sz val="12.0"/>
      <color theme="1"/>
      <name val="Calibri"/>
    </font>
    <font>
      <b/>
      <sz val="18.0"/>
      <color theme="1"/>
      <name val="Calibri"/>
    </font>
    <font>
      <sz val="16.0"/>
      <color theme="1"/>
      <name val="Calibri"/>
    </font>
    <font>
      <sz val="14.0"/>
      <color theme="1"/>
      <name val="Calibri"/>
    </font>
    <font>
      <sz val="11.0"/>
      <color rgb="FFFF0000"/>
      <name val="Calibri"/>
    </font>
    <font>
      <b/>
      <sz val="10.0"/>
      <color rgb="FFFF0000"/>
      <name val="Arial"/>
    </font>
    <font>
      <b/>
      <sz val="11.0"/>
      <color rgb="FF000000"/>
      <name val="Arial"/>
    </font>
    <font>
      <b/>
      <sz val="11.0"/>
      <color rgb="FF000000"/>
      <name val="Calibri"/>
    </font>
    <font>
      <b/>
      <i/>
      <sz val="11.0"/>
      <color rgb="FF000000"/>
      <name val="Arial"/>
    </font>
    <font>
      <b/>
      <i/>
      <sz val="11.0"/>
      <color rgb="FF000000"/>
      <name val="Calibri"/>
    </font>
    <font>
      <sz val="11.0"/>
      <color rgb="FFFF0000"/>
      <name val="Arial"/>
    </font>
    <font>
      <sz val="11.0"/>
      <color rgb="FF000000"/>
      <name val="Calibri"/>
    </font>
    <font>
      <i/>
      <sz val="11.0"/>
      <color theme="1"/>
      <name val="Arial"/>
    </font>
    <font>
      <sz val="12.0"/>
      <color rgb="FFFF0000"/>
      <name val="Arial"/>
    </font>
    <font>
      <b/>
      <sz val="16.0"/>
      <color theme="1"/>
      <name val="Calibri"/>
    </font>
    <font>
      <b/>
      <sz val="12.0"/>
      <color theme="1"/>
      <name val="Arial"/>
    </font>
    <font>
      <b/>
      <sz val="12.0"/>
      <color theme="1"/>
      <name val="Calibri"/>
    </font>
    <font>
      <b/>
      <sz val="10.0"/>
      <color rgb="FF7030A0"/>
      <name val="Arial"/>
    </font>
    <font>
      <b/>
      <sz val="18.0"/>
      <color theme="1"/>
      <name val="Arial"/>
    </font>
    <font>
      <b/>
      <sz val="9.0"/>
      <color theme="1"/>
      <name val="Arial"/>
    </font>
    <font>
      <sz val="10.0"/>
      <color theme="1"/>
      <name val="Century Gothic"/>
    </font>
  </fonts>
  <fills count="17">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FFC000"/>
        <bgColor rgb="FFFFC000"/>
      </patternFill>
    </fill>
    <fill>
      <patternFill patternType="solid">
        <fgColor rgb="FFCFE2F3"/>
        <bgColor rgb="FFCFE2F3"/>
      </patternFill>
    </fill>
    <fill>
      <patternFill patternType="solid">
        <fgColor rgb="FFF4CCCC"/>
        <bgColor rgb="FFF4CCCC"/>
      </patternFill>
    </fill>
    <fill>
      <patternFill patternType="solid">
        <fgColor theme="0"/>
        <bgColor theme="0"/>
      </patternFill>
    </fill>
    <fill>
      <patternFill patternType="solid">
        <fgColor rgb="FFD9D9D9"/>
        <bgColor rgb="FFD9D9D9"/>
      </patternFill>
    </fill>
    <fill>
      <patternFill patternType="solid">
        <fgColor rgb="FF92D050"/>
        <bgColor rgb="FF92D050"/>
      </patternFill>
    </fill>
    <fill>
      <patternFill patternType="solid">
        <fgColor rgb="FFFFF2CC"/>
        <bgColor rgb="FFFFF2CC"/>
      </patternFill>
    </fill>
    <fill>
      <patternFill patternType="solid">
        <fgColor rgb="FF3D85C6"/>
        <bgColor rgb="FF3D85C6"/>
      </patternFill>
    </fill>
    <fill>
      <patternFill patternType="solid">
        <fgColor rgb="FFB6D7A8"/>
        <bgColor rgb="FFB6D7A8"/>
      </patternFill>
    </fill>
    <fill>
      <patternFill patternType="solid">
        <fgColor rgb="FFF4B083"/>
        <bgColor rgb="FFF4B083"/>
      </patternFill>
    </fill>
    <fill>
      <patternFill patternType="solid">
        <fgColor rgb="FFD9D2E9"/>
        <bgColor rgb="FFD9D2E9"/>
      </patternFill>
    </fill>
    <fill>
      <patternFill patternType="solid">
        <fgColor rgb="FFDBE5F1"/>
        <bgColor rgb="FFDBE5F1"/>
      </patternFill>
    </fill>
    <fill>
      <patternFill patternType="solid">
        <fgColor rgb="FFD8D8D8"/>
        <bgColor rgb="FFD8D8D8"/>
      </patternFill>
    </fill>
  </fills>
  <borders count="83">
    <border/>
    <border>
      <left/>
      <right/>
      <top/>
      <bottom/>
    </border>
    <border>
      <left/>
      <top/>
      <bottom/>
    </border>
    <border>
      <right/>
      <top/>
      <bottom/>
    </border>
    <border>
      <top/>
      <bottom/>
    </border>
    <border>
      <left style="medium">
        <color rgb="FF000000"/>
      </left>
      <top style="medium">
        <color rgb="FF000000"/>
      </top>
    </border>
    <border>
      <top style="medium">
        <color rgb="FF000000"/>
      </top>
    </border>
    <border>
      <right style="medium">
        <color rgb="FF000000"/>
      </right>
      <top style="medium">
        <color rgb="FF000000"/>
      </top>
    </border>
    <border>
      <left/>
      <right/>
      <top style="medium">
        <color rgb="FF000000"/>
      </top>
    </border>
    <border>
      <left/>
      <top style="medium">
        <color rgb="FF000000"/>
      </top>
    </border>
    <border>
      <right/>
      <top style="medium">
        <color rgb="FF000000"/>
      </top>
    </border>
    <border>
      <left style="medium">
        <color rgb="FF000000"/>
      </left>
      <right style="thin">
        <color rgb="FF000000"/>
      </right>
      <top style="medium">
        <color rgb="FF000000"/>
      </top>
    </border>
    <border>
      <left/>
      <right style="medium">
        <color rgb="FF000000"/>
      </right>
      <top style="medium">
        <color rgb="FF000000"/>
      </top>
    </border>
    <border>
      <left style="medium">
        <color rgb="FF000000"/>
      </left>
    </border>
    <border>
      <right style="medium">
        <color rgb="FF000000"/>
      </right>
    </border>
    <border>
      <left/>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bottom/>
    </border>
    <border>
      <bottom/>
    </border>
    <border>
      <right/>
      <bottom/>
    </border>
    <border>
      <left style="medium">
        <color rgb="FF000000"/>
      </left>
      <right style="thin">
        <color rgb="FF000000"/>
      </right>
    </border>
    <border>
      <left/>
      <right style="medium">
        <color rgb="FF000000"/>
      </right>
    </border>
    <border>
      <left style="medium">
        <color rgb="FF000000"/>
      </left>
      <right style="medium">
        <color rgb="FF000000"/>
      </right>
      <top style="medium">
        <color rgb="FF000000"/>
      </top>
    </border>
    <border>
      <left style="medium">
        <color rgb="FF000000"/>
      </left>
      <right style="medium">
        <color rgb="FF000000"/>
      </right>
    </border>
    <border>
      <left/>
      <right/>
      <bottom style="medium">
        <color rgb="FF000000"/>
      </bottom>
    </border>
    <border>
      <left style="medium">
        <color rgb="FF000000"/>
      </left>
      <right style="medium">
        <color rgb="FF000000"/>
      </right>
      <bottom style="medium">
        <color rgb="FF000000"/>
      </bottom>
    </border>
    <border>
      <left style="medium">
        <color rgb="FF000000"/>
      </left>
      <right style="thin">
        <color rgb="FF000000"/>
      </right>
      <bottom style="medium">
        <color rgb="FF000000"/>
      </bottom>
    </border>
    <border>
      <left/>
      <right style="medium">
        <color rgb="FF000000"/>
      </right>
      <bottom style="medium">
        <color rgb="FF000000"/>
      </bottom>
    </border>
    <border>
      <left style="medium">
        <color rgb="FF000000"/>
      </left>
      <top/>
      <bottom/>
    </border>
    <border>
      <right style="medium">
        <color rgb="FF000000"/>
      </right>
      <top/>
      <bottom/>
    </border>
    <border>
      <left/>
      <right/>
      <top/>
      <bottom style="medium">
        <color rgb="FF000000"/>
      </bottom>
    </border>
    <border>
      <left style="medium">
        <color rgb="FF000000"/>
      </left>
      <right style="medium">
        <color rgb="FF000000"/>
      </right>
      <top/>
      <bottom style="medium">
        <color rgb="FF000000"/>
      </bottom>
    </border>
    <border>
      <left style="medium">
        <color rgb="FF000000"/>
      </left>
      <right style="thin">
        <color rgb="FF000000"/>
      </right>
      <top/>
      <bottom style="medium">
        <color rgb="FF000000"/>
      </bottom>
    </border>
    <border>
      <left/>
      <right style="medium">
        <color rgb="FF000000"/>
      </right>
      <top/>
      <bottom style="medium">
        <color rgb="FF000000"/>
      </bottom>
    </border>
    <border>
      <bottom style="thin">
        <color rgb="FF000000"/>
      </bottom>
    </border>
    <border>
      <left style="medium">
        <color rgb="FF000000"/>
      </left>
      <right style="medium">
        <color rgb="FF000000"/>
      </right>
      <bottom style="thin">
        <color rgb="FF000000"/>
      </bottom>
    </border>
    <border>
      <left style="medium">
        <color rgb="FF000000"/>
      </left>
      <right style="medium">
        <color rgb="FF000000"/>
      </right>
      <top style="medium">
        <color rgb="FF000000"/>
      </top>
      <bottom style="thin">
        <color rgb="FF000000"/>
      </bottom>
    </border>
    <border>
      <right style="medium">
        <color rgb="FF000000"/>
      </right>
      <bottom style="thin">
        <color rgb="FF000000"/>
      </bottom>
    </border>
    <border>
      <top style="thin">
        <color rgb="FF000000"/>
      </top>
      <bottom style="thin">
        <color rgb="FF000000"/>
      </bottom>
    </border>
    <border>
      <left style="medium">
        <color rgb="FF000000"/>
      </left>
      <right style="medium">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top/>
      <bottom/>
    </border>
    <border>
      <left style="medium">
        <color rgb="FF000000"/>
      </left>
      <right style="medium">
        <color rgb="FF000000"/>
      </right>
      <top style="thin">
        <color rgb="FF000000"/>
      </top>
    </border>
    <border>
      <left style="medium">
        <color rgb="FF000000"/>
      </left>
      <top style="thin">
        <color rgb="FF000000"/>
      </top>
      <bottom style="thin">
        <color rgb="FF000000"/>
      </bottom>
    </border>
    <border>
      <left style="medium">
        <color rgb="FF000000"/>
      </left>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medium">
        <color rgb="FF000000"/>
      </right>
      <top/>
      <bottom/>
    </border>
    <border>
      <right style="medium">
        <color rgb="FF000000"/>
      </right>
      <top style="thin">
        <color rgb="FF000000"/>
      </top>
    </border>
    <border>
      <left style="thin">
        <color rgb="FF000000"/>
      </left>
    </border>
    <border>
      <top style="thin">
        <color rgb="FF000000"/>
      </top>
      <bottom style="medium">
        <color rgb="FF000000"/>
      </bottom>
    </border>
    <border>
      <left style="medium">
        <color rgb="FF000000"/>
      </left>
      <right style="medium">
        <color rgb="FF000000"/>
      </right>
      <top style="thin">
        <color rgb="FF000000"/>
      </top>
      <bottom style="medium">
        <color rgb="FF000000"/>
      </bottom>
    </border>
    <border>
      <right style="medium">
        <color rgb="FF000000"/>
      </right>
      <top style="thin">
        <color rgb="FF000000"/>
      </top>
      <bottom style="medium">
        <color rgb="FF000000"/>
      </bottom>
    </border>
    <border>
      <right style="thin">
        <color rgb="FF000000"/>
      </right>
      <top style="medium">
        <color rgb="FF000000"/>
      </top>
    </border>
    <border>
      <right style="thin">
        <color rgb="FF000000"/>
      </right>
    </border>
    <border>
      <right style="thin">
        <color rgb="FF000000"/>
      </right>
      <bottom style="medium">
        <color rgb="FF000000"/>
      </bottom>
    </border>
    <border>
      <right style="thin">
        <color rgb="FF000000"/>
      </right>
      <top/>
      <bottom/>
    </border>
    <border>
      <left style="thin">
        <color rgb="FF000000"/>
      </left>
      <right/>
      <top style="thin">
        <color rgb="FF000000"/>
      </top>
      <bottom style="thin">
        <color rgb="FF000000"/>
      </bottom>
    </border>
    <border>
      <left/>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right/>
      <top style="thin">
        <color rgb="FF000000"/>
      </top>
      <bottom/>
    </border>
    <border>
      <left style="thin">
        <color rgb="FF000000"/>
      </left>
      <right style="thin">
        <color rgb="FF000000"/>
      </right>
      <top style="thin">
        <color rgb="FF000000"/>
      </top>
    </border>
    <border>
      <left style="thin">
        <color rgb="FF000000"/>
      </left>
      <right/>
      <top/>
      <bottom style="thin">
        <color rgb="FF000000"/>
      </bottom>
    </border>
    <border>
      <left/>
      <right/>
      <top/>
      <bottom style="thin">
        <color rgb="FF000000"/>
      </bottom>
    </border>
    <border>
      <left style="thin">
        <color rgb="FF000000"/>
      </left>
      <right style="thin">
        <color rgb="FF000000"/>
      </right>
      <bottom style="thin">
        <color rgb="FF000000"/>
      </bottom>
    </border>
    <border>
      <top style="thin">
        <color rgb="FF000000"/>
      </top>
    </border>
    <border>
      <left style="thin">
        <color rgb="FF000000"/>
      </left>
      <top style="thin">
        <color rgb="FF000000"/>
      </top>
      <bottom style="thin">
        <color rgb="FF000000"/>
      </bottom>
    </border>
    <border>
      <left style="medium">
        <color rgb="FF000000"/>
      </left>
      <top/>
      <bottom style="medium">
        <color rgb="FF000000"/>
      </bottom>
    </border>
    <border>
      <right style="medium">
        <color rgb="FF000000"/>
      </right>
      <top/>
      <bottom style="medium">
        <color rgb="FF000000"/>
      </bottom>
    </border>
    <border>
      <left style="thin">
        <color rgb="FF000000"/>
      </left>
      <right style="medium">
        <color rgb="FF000000"/>
      </right>
      <bottom style="thin">
        <color rgb="FF000000"/>
      </bottom>
    </border>
    <border>
      <left style="medium">
        <color rgb="FF000000"/>
      </left>
      <top style="thin">
        <color rgb="FF000000"/>
      </top>
      <bottom style="medium">
        <color rgb="FF000000"/>
      </bottom>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thin">
        <color rgb="FF000000"/>
      </left>
      <right style="medium">
        <color rgb="FF000000"/>
      </right>
      <top style="thin">
        <color rgb="FF000000"/>
      </top>
      <bottom style="thin">
        <color rgb="FF000000"/>
      </bottom>
    </border>
    <border>
      <left/>
      <bottom style="medium">
        <color rgb="FF000000"/>
      </bottom>
    </border>
    <border>
      <left style="medium">
        <color rgb="FF000000"/>
      </left>
      <bottom/>
    </border>
    <border>
      <right style="medium">
        <color rgb="FF000000"/>
      </right>
      <bottom/>
    </border>
    <border>
      <left style="medium">
        <color rgb="FF000000"/>
      </left>
      <right style="medium">
        <color rgb="FF000000"/>
      </right>
      <top style="medium">
        <color rgb="FF000000"/>
      </top>
      <bottom style="medium">
        <color rgb="FF000000"/>
      </bottom>
    </border>
    <border>
      <left style="medium">
        <color rgb="FF000000"/>
      </left>
      <top style="thin">
        <color rgb="FF000000"/>
      </top>
    </border>
  </borders>
  <cellStyleXfs count="1">
    <xf borderId="0" fillId="0" fontId="0" numFmtId="0" applyAlignment="1" applyFont="1"/>
  </cellStyleXfs>
  <cellXfs count="641">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xf>
    <xf borderId="3" fillId="0" fontId="3" numFmtId="0" xfId="0" applyBorder="1" applyFont="1"/>
    <xf borderId="2" fillId="2" fontId="4" numFmtId="0" xfId="0" applyAlignment="1" applyBorder="1" applyFont="1">
      <alignment horizontal="center" shrinkToFit="0" wrapText="1"/>
    </xf>
    <xf borderId="4" fillId="0" fontId="3" numFmtId="0" xfId="0" applyBorder="1" applyFont="1"/>
    <xf borderId="2" fillId="2" fontId="5" numFmtId="0" xfId="0" applyAlignment="1" applyBorder="1" applyFont="1">
      <alignment horizontal="center"/>
    </xf>
    <xf borderId="1" fillId="2" fontId="1" numFmtId="0" xfId="0" applyAlignment="1" applyBorder="1" applyFont="1">
      <alignment horizontal="center"/>
    </xf>
    <xf borderId="0" fillId="0" fontId="1" numFmtId="0" xfId="0" applyFont="1"/>
    <xf borderId="1" fillId="2" fontId="6" numFmtId="0" xfId="0" applyAlignment="1" applyBorder="1" applyFont="1">
      <alignment vertical="center"/>
    </xf>
    <xf borderId="1" fillId="2" fontId="6" numFmtId="0" xfId="0" applyAlignment="1" applyBorder="1" applyFont="1">
      <alignment shrinkToFit="0" wrapText="1"/>
    </xf>
    <xf borderId="1" fillId="2" fontId="6" numFmtId="0" xfId="0" applyAlignment="1" applyBorder="1" applyFont="1">
      <alignment horizontal="right" shrinkToFit="0" vertical="center" wrapText="1"/>
    </xf>
    <xf borderId="2" fillId="2" fontId="6" numFmtId="0" xfId="0" applyAlignment="1" applyBorder="1" applyFont="1">
      <alignment horizontal="left"/>
    </xf>
    <xf borderId="1" fillId="2" fontId="6" numFmtId="0" xfId="0" applyAlignment="1" applyBorder="1" applyFont="1">
      <alignment shrinkToFit="0" vertical="center" wrapText="1"/>
    </xf>
    <xf borderId="1" fillId="2" fontId="6" numFmtId="0" xfId="0" applyAlignment="1" applyBorder="1" applyFont="1">
      <alignment horizontal="center" vertical="center"/>
    </xf>
    <xf borderId="1" fillId="2" fontId="7" numFmtId="0" xfId="0" applyAlignment="1" applyBorder="1" applyFont="1">
      <alignment horizontal="center"/>
    </xf>
    <xf borderId="1" fillId="2" fontId="7" numFmtId="0" xfId="0" applyBorder="1" applyFont="1"/>
    <xf borderId="1" fillId="2" fontId="6" numFmtId="0" xfId="0" applyBorder="1" applyFont="1"/>
    <xf borderId="1" fillId="2" fontId="8" numFmtId="0" xfId="0" applyBorder="1" applyFont="1"/>
    <xf borderId="2" fillId="2" fontId="6" numFmtId="0" xfId="0" applyBorder="1" applyFont="1"/>
    <xf borderId="5" fillId="2" fontId="6" numFmtId="0" xfId="0" applyAlignment="1" applyBorder="1" applyFont="1">
      <alignment horizontal="center" shrinkToFit="0" vertical="center" wrapText="1"/>
    </xf>
    <xf borderId="6" fillId="0" fontId="3" numFmtId="0" xfId="0" applyBorder="1" applyFont="1"/>
    <xf borderId="7" fillId="0" fontId="3" numFmtId="0" xfId="0" applyBorder="1" applyFont="1"/>
    <xf borderId="8" fillId="2" fontId="6" numFmtId="0" xfId="0" applyAlignment="1" applyBorder="1" applyFont="1">
      <alignment horizontal="center" shrinkToFit="0" vertical="center" wrapText="1"/>
    </xf>
    <xf borderId="9" fillId="2" fontId="6" numFmtId="0" xfId="0" applyAlignment="1" applyBorder="1" applyFont="1">
      <alignment horizontal="center" vertical="center"/>
    </xf>
    <xf borderId="10" fillId="0" fontId="3" numFmtId="0" xfId="0" applyBorder="1" applyFont="1"/>
    <xf borderId="11" fillId="2" fontId="6" numFmtId="0" xfId="0" applyAlignment="1" applyBorder="1" applyFont="1">
      <alignment horizontal="center" shrinkToFit="0" vertical="center" wrapText="1"/>
    </xf>
    <xf borderId="12" fillId="2" fontId="6" numFmtId="0" xfId="0" applyAlignment="1" applyBorder="1" applyFont="1">
      <alignment horizontal="center" vertical="center"/>
    </xf>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0" fontId="3" numFmtId="0" xfId="0" applyBorder="1" applyFont="1"/>
    <xf borderId="19" fillId="0" fontId="3" numFmtId="0" xfId="0" applyBorder="1" applyFont="1"/>
    <xf borderId="20" fillId="0" fontId="3" numFmtId="0" xfId="0" applyBorder="1" applyFont="1"/>
    <xf borderId="21" fillId="0" fontId="3" numFmtId="0" xfId="0" applyBorder="1" applyFont="1"/>
    <xf borderId="22" fillId="0" fontId="3" numFmtId="0" xfId="0" applyBorder="1" applyFont="1"/>
    <xf borderId="23" fillId="0" fontId="3" numFmtId="0" xfId="0" applyBorder="1" applyFont="1"/>
    <xf borderId="24" fillId="2" fontId="6" numFmtId="0" xfId="0" applyAlignment="1" applyBorder="1" applyFont="1">
      <alignment horizontal="center" shrinkToFit="0" vertical="center" wrapText="1"/>
    </xf>
    <xf borderId="25" fillId="0" fontId="3" numFmtId="0" xfId="0" applyBorder="1" applyFont="1"/>
    <xf borderId="26" fillId="0" fontId="3" numFmtId="0" xfId="0" applyBorder="1" applyFont="1"/>
    <xf borderId="27" fillId="0" fontId="3" numFmtId="0" xfId="0" applyBorder="1" applyFont="1"/>
    <xf borderId="28" fillId="0" fontId="3" numFmtId="0" xfId="0" applyBorder="1" applyFont="1"/>
    <xf borderId="29" fillId="0" fontId="3" numFmtId="0" xfId="0" applyBorder="1" applyFont="1"/>
    <xf borderId="30" fillId="2" fontId="6" numFmtId="0" xfId="0" applyAlignment="1" applyBorder="1" applyFont="1">
      <alignment horizontal="center" vertical="center"/>
    </xf>
    <xf borderId="31" fillId="0" fontId="3" numFmtId="0" xfId="0" applyBorder="1" applyFont="1"/>
    <xf borderId="32" fillId="2" fontId="6" numFmtId="0" xfId="0" applyAlignment="1" applyBorder="1" applyFont="1">
      <alignment horizontal="center" shrinkToFit="0" vertical="center" wrapText="1"/>
    </xf>
    <xf borderId="33" fillId="2" fontId="6" numFmtId="0" xfId="0" applyAlignment="1" applyBorder="1" applyFont="1">
      <alignment horizontal="center" shrinkToFit="0" vertical="center" wrapText="1"/>
    </xf>
    <xf borderId="33" fillId="2" fontId="6" numFmtId="0" xfId="0" applyAlignment="1" applyBorder="1" applyFont="1">
      <alignment horizontal="center"/>
    </xf>
    <xf borderId="32" fillId="2" fontId="6" numFmtId="0" xfId="0" applyAlignment="1" applyBorder="1" applyFont="1">
      <alignment horizontal="center"/>
    </xf>
    <xf borderId="33" fillId="2" fontId="6" numFmtId="0" xfId="0" applyAlignment="1" applyBorder="1" applyFont="1">
      <alignment horizontal="center" vertical="center"/>
    </xf>
    <xf borderId="32" fillId="2" fontId="6" numFmtId="0" xfId="0" applyAlignment="1" applyBorder="1" applyFont="1">
      <alignment horizontal="center" vertical="center"/>
    </xf>
    <xf borderId="34" fillId="2" fontId="6" numFmtId="0" xfId="0" applyAlignment="1" applyBorder="1" applyFont="1">
      <alignment horizontal="center"/>
    </xf>
    <xf borderId="35" fillId="2" fontId="6" numFmtId="0" xfId="0" applyAlignment="1" applyBorder="1" applyFont="1">
      <alignment horizontal="center" vertical="center"/>
    </xf>
    <xf borderId="13" fillId="0" fontId="9" numFmtId="0" xfId="0" applyAlignment="1" applyBorder="1" applyFont="1">
      <alignment horizontal="center"/>
    </xf>
    <xf borderId="36" fillId="0" fontId="9" numFmtId="0" xfId="0" applyBorder="1" applyFont="1"/>
    <xf borderId="37" fillId="0" fontId="9" numFmtId="0" xfId="0" applyBorder="1" applyFont="1"/>
    <xf borderId="38" fillId="0" fontId="9" numFmtId="0" xfId="0" applyAlignment="1" applyBorder="1" applyFont="1">
      <alignment horizontal="center"/>
    </xf>
    <xf borderId="39" fillId="0" fontId="9" numFmtId="0" xfId="0" applyBorder="1" applyFont="1"/>
    <xf borderId="13" fillId="0" fontId="10" numFmtId="0" xfId="0" applyBorder="1" applyFont="1"/>
    <xf borderId="14" fillId="0" fontId="9" numFmtId="0" xfId="0" applyBorder="1" applyFont="1"/>
    <xf borderId="40" fillId="0" fontId="9" numFmtId="0" xfId="0" applyBorder="1" applyFont="1"/>
    <xf borderId="41" fillId="0" fontId="9" numFmtId="0" xfId="0" applyBorder="1" applyFont="1"/>
    <xf borderId="41" fillId="0" fontId="9" numFmtId="0" xfId="0" applyAlignment="1" applyBorder="1" applyFont="1">
      <alignment horizontal="center"/>
    </xf>
    <xf borderId="42" fillId="0" fontId="9" numFmtId="0" xfId="0" applyBorder="1" applyFont="1"/>
    <xf borderId="43" fillId="3" fontId="10" numFmtId="0" xfId="0" applyBorder="1" applyFill="1" applyFont="1"/>
    <xf borderId="1" fillId="3" fontId="9" numFmtId="0" xfId="0" applyBorder="1" applyFont="1"/>
    <xf borderId="40" fillId="0" fontId="9" numFmtId="0" xfId="0" applyAlignment="1" applyBorder="1" applyFont="1">
      <alignment horizontal="center"/>
    </xf>
    <xf borderId="13" fillId="0" fontId="8" numFmtId="0" xfId="0" applyBorder="1" applyFont="1"/>
    <xf borderId="0" fillId="0" fontId="8" numFmtId="0" xfId="0" applyFont="1"/>
    <xf borderId="41" fillId="0" fontId="7" numFmtId="0" xfId="0" applyAlignment="1" applyBorder="1" applyFont="1">
      <alignment horizontal="center" shrinkToFit="0" vertical="center" wrapText="1"/>
    </xf>
    <xf borderId="40" fillId="0" fontId="7" numFmtId="0" xfId="0" applyAlignment="1" applyBorder="1" applyFont="1">
      <alignment horizontal="center" shrinkToFit="0" vertical="center" wrapText="1"/>
    </xf>
    <xf borderId="41" fillId="0" fontId="9" numFmtId="164" xfId="0" applyAlignment="1" applyBorder="1" applyFont="1" applyNumberFormat="1">
      <alignment horizontal="center"/>
    </xf>
    <xf borderId="13" fillId="0" fontId="7" numFmtId="0" xfId="0" applyAlignment="1" applyBorder="1" applyFont="1">
      <alignment horizontal="left"/>
    </xf>
    <xf borderId="0" fillId="0" fontId="7" numFmtId="0" xfId="0" applyAlignment="1" applyFont="1">
      <alignment horizontal="center"/>
    </xf>
    <xf borderId="44" fillId="0" fontId="9" numFmtId="0" xfId="0" applyAlignment="1" applyBorder="1" applyFont="1">
      <alignment horizontal="center" shrinkToFit="0" vertical="center" wrapText="1"/>
    </xf>
    <xf borderId="0" fillId="0" fontId="8" numFmtId="0" xfId="0" applyAlignment="1" applyFont="1">
      <alignment horizontal="left"/>
    </xf>
    <xf borderId="41" fillId="0" fontId="9" numFmtId="0" xfId="0" applyAlignment="1" applyBorder="1" applyFont="1">
      <alignment vertical="center"/>
    </xf>
    <xf borderId="41" fillId="0" fontId="7" numFmtId="3" xfId="0" applyAlignment="1" applyBorder="1" applyFont="1" applyNumberFormat="1">
      <alignment horizontal="center"/>
    </xf>
    <xf borderId="40" fillId="0" fontId="7" numFmtId="3" xfId="0" applyAlignment="1" applyBorder="1" applyFont="1" applyNumberFormat="1">
      <alignment horizontal="center"/>
    </xf>
    <xf borderId="42" fillId="0" fontId="10" numFmtId="3" xfId="0" applyAlignment="1" applyBorder="1" applyFont="1" applyNumberFormat="1">
      <alignment horizontal="center"/>
    </xf>
    <xf borderId="41" fillId="0" fontId="10" numFmtId="3" xfId="0" applyAlignment="1" applyBorder="1" applyFont="1" applyNumberFormat="1">
      <alignment horizontal="center"/>
    </xf>
    <xf borderId="41" fillId="0" fontId="9" numFmtId="3" xfId="0" applyAlignment="1" applyBorder="1" applyFont="1" applyNumberFormat="1">
      <alignment horizontal="center"/>
    </xf>
    <xf borderId="13" fillId="0" fontId="11" numFmtId="0" xfId="0" applyBorder="1" applyFont="1"/>
    <xf borderId="41" fillId="0" fontId="8" numFmtId="3" xfId="0" applyAlignment="1" applyBorder="1" applyFont="1" applyNumberFormat="1">
      <alignment horizontal="center"/>
    </xf>
    <xf borderId="40" fillId="0" fontId="8" numFmtId="3" xfId="0" applyAlignment="1" applyBorder="1" applyFont="1" applyNumberFormat="1">
      <alignment horizontal="center"/>
    </xf>
    <xf borderId="42" fillId="0" fontId="9" numFmtId="3" xfId="0" applyAlignment="1" applyBorder="1" applyFont="1" applyNumberFormat="1">
      <alignment horizontal="center"/>
    </xf>
    <xf borderId="45" fillId="0" fontId="9" numFmtId="3" xfId="0" applyAlignment="1" applyBorder="1" applyFont="1" applyNumberFormat="1">
      <alignment horizontal="center"/>
    </xf>
    <xf borderId="42" fillId="0" fontId="9" numFmtId="0" xfId="0" applyAlignment="1" applyBorder="1" applyFont="1">
      <alignment horizontal="center"/>
    </xf>
    <xf borderId="37" fillId="0" fontId="3" numFmtId="0" xfId="0" applyBorder="1" applyFont="1"/>
    <xf quotePrefix="1" borderId="0" fillId="0" fontId="8" numFmtId="0" xfId="0" applyFont="1"/>
    <xf borderId="41" fillId="0" fontId="9" numFmtId="10" xfId="0" applyAlignment="1" applyBorder="1" applyFont="1" applyNumberFormat="1">
      <alignment horizontal="center"/>
    </xf>
    <xf borderId="41" fillId="0" fontId="9" numFmtId="10" xfId="0" applyAlignment="1" applyBorder="1" applyFont="1" applyNumberFormat="1">
      <alignment horizontal="center" vertical="center"/>
    </xf>
    <xf borderId="42" fillId="0" fontId="9" numFmtId="10" xfId="0" applyAlignment="1" applyBorder="1" applyFont="1" applyNumberFormat="1">
      <alignment horizontal="center" vertical="center"/>
    </xf>
    <xf borderId="42" fillId="0" fontId="9" numFmtId="0" xfId="0" applyAlignment="1" applyBorder="1" applyFont="1">
      <alignment horizontal="center" shrinkToFit="0" wrapText="1"/>
    </xf>
    <xf borderId="13" fillId="0" fontId="8" numFmtId="0" xfId="0" applyAlignment="1" applyBorder="1" applyFont="1">
      <alignment vertical="center"/>
    </xf>
    <xf borderId="0" fillId="0" fontId="8" numFmtId="0" xfId="0" applyAlignment="1" applyFont="1">
      <alignment vertical="center"/>
    </xf>
    <xf borderId="41" fillId="0" fontId="9" numFmtId="3" xfId="0" applyAlignment="1" applyBorder="1" applyFont="1" applyNumberFormat="1">
      <alignment horizontal="center" vertical="center"/>
    </xf>
    <xf borderId="42" fillId="0" fontId="9" numFmtId="0" xfId="0" applyAlignment="1" applyBorder="1" applyFont="1">
      <alignment horizontal="center" shrinkToFit="0" vertical="center" wrapText="1"/>
    </xf>
    <xf borderId="13" fillId="0" fontId="8" numFmtId="0" xfId="0" applyAlignment="1" applyBorder="1" applyFont="1">
      <alignment horizontal="right"/>
    </xf>
    <xf borderId="41" fillId="0" fontId="9" numFmtId="0" xfId="0" applyAlignment="1" applyBorder="1" applyFont="1">
      <alignment horizontal="center" shrinkToFit="0" vertical="center" wrapText="1"/>
    </xf>
    <xf borderId="37" fillId="0" fontId="9" numFmtId="0" xfId="0" applyAlignment="1" applyBorder="1" applyFont="1">
      <alignment horizontal="center" shrinkToFit="0" vertical="center" wrapText="1"/>
    </xf>
    <xf borderId="40" fillId="0" fontId="8" numFmtId="9" xfId="0" applyAlignment="1" applyBorder="1" applyFont="1" applyNumberFormat="1">
      <alignment horizontal="center"/>
    </xf>
    <xf borderId="45" fillId="0" fontId="9" numFmtId="10" xfId="0" applyAlignment="1" applyBorder="1" applyFont="1" applyNumberFormat="1">
      <alignment horizontal="center" vertical="center"/>
    </xf>
    <xf borderId="0" fillId="0" fontId="9" numFmtId="0" xfId="0" applyAlignment="1" applyFont="1">
      <alignment vertical="center"/>
    </xf>
    <xf borderId="13" fillId="0" fontId="8" numFmtId="0" xfId="0" applyAlignment="1" applyBorder="1" applyFont="1">
      <alignment horizontal="right" vertical="center"/>
    </xf>
    <xf borderId="14" fillId="0" fontId="9" numFmtId="0" xfId="0" applyAlignment="1" applyBorder="1" applyFont="1">
      <alignment vertical="center"/>
    </xf>
    <xf borderId="40" fillId="0" fontId="9" numFmtId="0" xfId="0" applyAlignment="1" applyBorder="1" applyFont="1">
      <alignment vertical="center"/>
    </xf>
    <xf borderId="41" fillId="0" fontId="8" numFmtId="3" xfId="0" applyAlignment="1" applyBorder="1" applyFont="1" applyNumberFormat="1">
      <alignment horizontal="center" vertical="center"/>
    </xf>
    <xf borderId="40" fillId="0" fontId="8" numFmtId="3" xfId="0" applyAlignment="1" applyBorder="1" applyFont="1" applyNumberFormat="1">
      <alignment horizontal="center" vertical="center"/>
    </xf>
    <xf borderId="40" fillId="0" fontId="8" numFmtId="9" xfId="0" applyAlignment="1" applyBorder="1" applyFont="1" applyNumberFormat="1">
      <alignment horizontal="center" vertical="center"/>
    </xf>
    <xf borderId="45" fillId="0" fontId="9" numFmtId="3" xfId="0" applyAlignment="1" applyBorder="1" applyFont="1" applyNumberFormat="1">
      <alignment horizontal="center" vertical="center"/>
    </xf>
    <xf borderId="13" fillId="0" fontId="9" numFmtId="0" xfId="0" applyBorder="1" applyFont="1"/>
    <xf borderId="41" fillId="0" fontId="9" numFmtId="9" xfId="0" applyAlignment="1" applyBorder="1" applyFont="1" applyNumberFormat="1">
      <alignment horizontal="center"/>
    </xf>
    <xf borderId="40" fillId="0" fontId="9" numFmtId="9" xfId="0" applyAlignment="1" applyBorder="1" applyFont="1" applyNumberFormat="1">
      <alignment horizontal="center"/>
    </xf>
    <xf borderId="45" fillId="0" fontId="9" numFmtId="10" xfId="0" applyAlignment="1" applyBorder="1" applyFont="1" applyNumberFormat="1">
      <alignment horizontal="center"/>
    </xf>
    <xf borderId="45" fillId="0" fontId="9" numFmtId="0" xfId="0" applyAlignment="1" applyBorder="1" applyFont="1">
      <alignment horizontal="center"/>
    </xf>
    <xf borderId="0" fillId="0" fontId="12" numFmtId="0" xfId="0" applyFont="1"/>
    <xf borderId="40" fillId="0" fontId="9" numFmtId="3" xfId="0" applyAlignment="1" applyBorder="1" applyFont="1" applyNumberFormat="1">
      <alignment horizontal="center"/>
    </xf>
    <xf borderId="37" fillId="0" fontId="9" numFmtId="3" xfId="0" applyAlignment="1" applyBorder="1" applyFont="1" applyNumberFormat="1">
      <alignment horizontal="center"/>
    </xf>
    <xf borderId="36" fillId="0" fontId="9" numFmtId="0" xfId="0" applyAlignment="1" applyBorder="1" applyFont="1">
      <alignment horizontal="center"/>
    </xf>
    <xf borderId="36" fillId="0" fontId="9" numFmtId="3" xfId="0" applyAlignment="1" applyBorder="1" applyFont="1" applyNumberFormat="1">
      <alignment horizontal="center"/>
    </xf>
    <xf borderId="46" fillId="0" fontId="9" numFmtId="3" xfId="0" applyAlignment="1" applyBorder="1" applyFont="1" applyNumberFormat="1">
      <alignment horizontal="center"/>
    </xf>
    <xf borderId="39" fillId="0" fontId="9" numFmtId="3" xfId="0" applyAlignment="1" applyBorder="1" applyFont="1" applyNumberFormat="1">
      <alignment horizontal="center"/>
    </xf>
    <xf borderId="13" fillId="0" fontId="9" numFmtId="0" xfId="0" applyAlignment="1" applyBorder="1" applyFont="1">
      <alignment vertical="center"/>
    </xf>
    <xf borderId="0" fillId="0" fontId="8" numFmtId="0" xfId="0" applyAlignment="1" applyFont="1">
      <alignment horizontal="left" vertical="center"/>
    </xf>
    <xf borderId="37" fillId="0" fontId="9" numFmtId="3" xfId="0" applyAlignment="1" applyBorder="1" applyFont="1" applyNumberFormat="1">
      <alignment horizontal="center" vertical="center"/>
    </xf>
    <xf borderId="36" fillId="0" fontId="9" numFmtId="0" xfId="0" applyAlignment="1" applyBorder="1" applyFont="1">
      <alignment horizontal="center" vertical="center"/>
    </xf>
    <xf borderId="36" fillId="0" fontId="9" numFmtId="3" xfId="0" applyAlignment="1" applyBorder="1" applyFont="1" applyNumberFormat="1">
      <alignment horizontal="center" vertical="center"/>
    </xf>
    <xf borderId="37" fillId="0" fontId="9" numFmtId="10" xfId="0" applyAlignment="1" applyBorder="1" applyFont="1" applyNumberFormat="1">
      <alignment horizontal="center" vertical="center"/>
    </xf>
    <xf borderId="46" fillId="0" fontId="9" numFmtId="10" xfId="0" applyAlignment="1" applyBorder="1" applyFont="1" applyNumberFormat="1">
      <alignment horizontal="center" vertical="center"/>
    </xf>
    <xf borderId="39" fillId="0" fontId="9" numFmtId="10" xfId="0" applyAlignment="1" applyBorder="1" applyFont="1" applyNumberFormat="1">
      <alignment horizontal="center" vertical="center"/>
    </xf>
    <xf borderId="0" fillId="0" fontId="13" numFmtId="0" xfId="0" applyFont="1"/>
    <xf borderId="41" fillId="0" fontId="9" numFmtId="3" xfId="0" applyBorder="1" applyFont="1" applyNumberFormat="1"/>
    <xf borderId="45" fillId="0" fontId="9" numFmtId="3" xfId="0" applyBorder="1" applyFont="1" applyNumberFormat="1"/>
    <xf borderId="42" fillId="0" fontId="9" numFmtId="3" xfId="0" applyBorder="1" applyFont="1" applyNumberFormat="1"/>
    <xf borderId="0" fillId="0" fontId="14" numFmtId="0" xfId="0" applyAlignment="1" applyFont="1">
      <alignment horizontal="left" vertical="center"/>
    </xf>
    <xf borderId="0" fillId="0" fontId="13" numFmtId="0" xfId="0" applyAlignment="1" applyFont="1">
      <alignment vertical="center"/>
    </xf>
    <xf borderId="41" fillId="0" fontId="9" numFmtId="0" xfId="0" applyAlignment="1" applyBorder="1" applyFont="1">
      <alignment horizontal="center" vertical="center"/>
    </xf>
    <xf borderId="40" fillId="0" fontId="9" numFmtId="0" xfId="0" applyAlignment="1" applyBorder="1" applyFont="1">
      <alignment horizontal="center" vertical="center"/>
    </xf>
    <xf borderId="45" fillId="0" fontId="9" numFmtId="0" xfId="0" applyAlignment="1" applyBorder="1" applyFont="1">
      <alignment horizontal="center" vertical="center"/>
    </xf>
    <xf borderId="42" fillId="0" fontId="9" numFmtId="3" xfId="0" applyAlignment="1" applyBorder="1" applyFont="1" applyNumberFormat="1">
      <alignment horizontal="center" vertical="center"/>
    </xf>
    <xf borderId="0" fillId="0" fontId="8" numFmtId="0" xfId="0" applyAlignment="1" applyFont="1">
      <alignment horizontal="center"/>
    </xf>
    <xf borderId="0" fillId="0" fontId="7" numFmtId="0" xfId="0" applyFont="1"/>
    <xf borderId="40" fillId="0" fontId="9" numFmtId="10" xfId="0" applyAlignment="1" applyBorder="1" applyFont="1" applyNumberFormat="1">
      <alignment horizontal="center"/>
    </xf>
    <xf borderId="42" fillId="0" fontId="9" numFmtId="10" xfId="0" applyAlignment="1" applyBorder="1" applyFont="1" applyNumberFormat="1">
      <alignment horizontal="center"/>
    </xf>
    <xf borderId="13" fillId="0" fontId="8" numFmtId="165" xfId="0" applyBorder="1" applyFont="1" applyNumberFormat="1"/>
    <xf borderId="13" fillId="0" fontId="7" numFmtId="0" xfId="0" applyBorder="1" applyFont="1"/>
    <xf borderId="41" fillId="0" fontId="9" numFmtId="0" xfId="0" applyAlignment="1" applyBorder="1" applyFont="1">
      <alignment shrinkToFit="0" vertical="center" wrapText="1"/>
    </xf>
    <xf borderId="43" fillId="3" fontId="7" numFmtId="0" xfId="0" applyBorder="1" applyFont="1"/>
    <xf borderId="1" fillId="3" fontId="8" numFmtId="0" xfId="0" applyBorder="1" applyFont="1"/>
    <xf borderId="1" fillId="3" fontId="8" numFmtId="0" xfId="0" applyAlignment="1" applyBorder="1" applyFont="1">
      <alignment horizontal="left"/>
    </xf>
    <xf borderId="41" fillId="0" fontId="9" numFmtId="10" xfId="0" applyAlignment="1" applyBorder="1" applyFont="1" applyNumberFormat="1">
      <alignment horizontal="center" shrinkToFit="0" vertical="center" wrapText="1"/>
    </xf>
    <xf borderId="0" fillId="0" fontId="15" numFmtId="0" xfId="0" applyAlignment="1" applyFont="1">
      <alignment horizontal="left"/>
    </xf>
    <xf borderId="41" fillId="0" fontId="16" numFmtId="2" xfId="0" applyAlignment="1" applyBorder="1" applyFont="1" applyNumberFormat="1">
      <alignment horizontal="center" shrinkToFit="0" wrapText="1"/>
    </xf>
    <xf borderId="41" fillId="0" fontId="8" numFmtId="2" xfId="0" applyAlignment="1" applyBorder="1" applyFont="1" applyNumberFormat="1">
      <alignment horizontal="center" shrinkToFit="0" vertical="center" wrapText="1"/>
    </xf>
    <xf borderId="41" fillId="0" fontId="9" numFmtId="2" xfId="0" applyAlignment="1" applyBorder="1" applyFont="1" applyNumberFormat="1">
      <alignment horizontal="center" shrinkToFit="0" vertical="center" wrapText="1"/>
    </xf>
    <xf borderId="41" fillId="0" fontId="9" numFmtId="2" xfId="0" applyAlignment="1" applyBorder="1" applyFont="1" applyNumberFormat="1">
      <alignment horizontal="center"/>
    </xf>
    <xf borderId="41" fillId="0" fontId="16" numFmtId="2" xfId="0" applyAlignment="1" applyBorder="1" applyFont="1" applyNumberFormat="1">
      <alignment horizontal="center" shrinkToFit="0" vertical="center" wrapText="1"/>
    </xf>
    <xf borderId="40" fillId="0" fontId="9" numFmtId="2" xfId="0" applyAlignment="1" applyBorder="1" applyFont="1" applyNumberFormat="1">
      <alignment horizontal="center"/>
    </xf>
    <xf borderId="41" fillId="0" fontId="16" numFmtId="0" xfId="0" applyAlignment="1" applyBorder="1" applyFont="1">
      <alignment horizontal="center" shrinkToFit="0" wrapText="1"/>
    </xf>
    <xf borderId="41" fillId="0" fontId="8" numFmtId="1" xfId="0" applyAlignment="1" applyBorder="1" applyFont="1" applyNumberFormat="1">
      <alignment horizontal="center" shrinkToFit="0" vertical="center" wrapText="1"/>
    </xf>
    <xf borderId="41" fillId="0" fontId="9" numFmtId="9" xfId="0" applyAlignment="1" applyBorder="1" applyFont="1" applyNumberFormat="1">
      <alignment horizontal="center" shrinkToFit="0" vertical="center" wrapText="1"/>
    </xf>
    <xf borderId="41" fillId="0" fontId="17" numFmtId="9" xfId="0" applyAlignment="1" applyBorder="1" applyFont="1" applyNumberFormat="1">
      <alignment horizontal="center" shrinkToFit="0" vertical="center" wrapText="1"/>
    </xf>
    <xf borderId="40" fillId="0" fontId="17" numFmtId="9" xfId="0" applyAlignment="1" applyBorder="1" applyFont="1" applyNumberFormat="1">
      <alignment horizontal="center" shrinkToFit="0" vertical="center" wrapText="1"/>
    </xf>
    <xf borderId="47" fillId="0" fontId="17" numFmtId="9" xfId="0" applyAlignment="1" applyBorder="1" applyFont="1" applyNumberFormat="1">
      <alignment horizontal="center" shrinkToFit="0" vertical="center" wrapText="1"/>
    </xf>
    <xf borderId="1" fillId="3" fontId="15" numFmtId="0" xfId="0" applyAlignment="1" applyBorder="1" applyFont="1">
      <alignment horizontal="left"/>
    </xf>
    <xf borderId="0" fillId="0" fontId="15" numFmtId="0" xfId="0" applyFont="1"/>
    <xf borderId="41" fillId="0" fontId="9" numFmtId="9" xfId="0" applyAlignment="1" applyBorder="1" applyFont="1" applyNumberFormat="1">
      <alignment horizontal="center" vertical="center"/>
    </xf>
    <xf borderId="48" fillId="0" fontId="17" numFmtId="10" xfId="0" applyAlignment="1" applyBorder="1" applyFont="1" applyNumberFormat="1">
      <alignment horizontal="center" shrinkToFit="0" wrapText="1"/>
    </xf>
    <xf borderId="48" fillId="0" fontId="17" numFmtId="10" xfId="0" applyAlignment="1" applyBorder="1" applyFont="1" applyNumberFormat="1">
      <alignment horizontal="center"/>
    </xf>
    <xf borderId="40" fillId="0" fontId="3" numFmtId="0" xfId="0" applyBorder="1" applyFont="1"/>
    <xf borderId="42" fillId="0" fontId="3" numFmtId="0" xfId="0" applyBorder="1" applyFont="1"/>
    <xf borderId="13" fillId="0" fontId="8" numFmtId="0" xfId="0" applyAlignment="1" applyBorder="1" applyFont="1">
      <alignment vertical="top"/>
    </xf>
    <xf quotePrefix="1" borderId="0" fillId="0" fontId="8" numFmtId="0" xfId="0" applyAlignment="1" applyFont="1">
      <alignment vertical="top"/>
    </xf>
    <xf borderId="41" fillId="0" fontId="9" numFmtId="3" xfId="0" applyAlignment="1" applyBorder="1" applyFont="1" applyNumberFormat="1">
      <alignment horizontal="center" shrinkToFit="0" vertical="center" wrapText="1"/>
    </xf>
    <xf borderId="44" fillId="0" fontId="9" numFmtId="0" xfId="0" applyAlignment="1" applyBorder="1" applyFont="1">
      <alignment shrinkToFit="0" vertical="center" wrapText="1"/>
    </xf>
    <xf quotePrefix="1" borderId="0" fillId="0" fontId="14" numFmtId="0" xfId="0" applyAlignment="1" applyFont="1">
      <alignment vertical="center"/>
    </xf>
    <xf borderId="1" fillId="3" fontId="7" numFmtId="0" xfId="0" applyBorder="1" applyFont="1"/>
    <xf borderId="41" fillId="0" fontId="17" numFmtId="9" xfId="0" applyAlignment="1" applyBorder="1" applyFont="1" applyNumberFormat="1">
      <alignment horizontal="center" vertical="center"/>
    </xf>
    <xf borderId="13" fillId="0" fontId="7" numFmtId="0" xfId="0" applyAlignment="1" applyBorder="1" applyFont="1">
      <alignment vertical="center"/>
    </xf>
    <xf borderId="49" fillId="3" fontId="9" numFmtId="0" xfId="0" applyBorder="1" applyFont="1"/>
    <xf borderId="0" fillId="0" fontId="7" numFmtId="0" xfId="0" applyAlignment="1" applyFont="1">
      <alignment horizontal="left"/>
    </xf>
    <xf borderId="0" fillId="0" fontId="9" numFmtId="0" xfId="0" applyFont="1"/>
    <xf quotePrefix="1" borderId="0" fillId="0" fontId="8" numFmtId="0" xfId="0" applyAlignment="1" applyFont="1">
      <alignment horizontal="left" vertical="center"/>
    </xf>
    <xf borderId="0" fillId="0" fontId="7" numFmtId="0" xfId="0" applyAlignment="1" applyFont="1">
      <alignment vertical="center"/>
    </xf>
    <xf borderId="40" fillId="0" fontId="9" numFmtId="10" xfId="0" applyAlignment="1" applyBorder="1" applyFont="1" applyNumberFormat="1">
      <alignment horizontal="center" vertical="center"/>
    </xf>
    <xf borderId="40" fillId="0" fontId="9" numFmtId="0" xfId="0" applyAlignment="1" applyBorder="1" applyFont="1">
      <alignment horizontal="center" shrinkToFit="0" vertical="center" wrapText="1"/>
    </xf>
    <xf borderId="40" fillId="0" fontId="9" numFmtId="10" xfId="0" applyAlignment="1" applyBorder="1" applyFont="1" applyNumberFormat="1">
      <alignment horizontal="center" shrinkToFit="0" vertical="center" wrapText="1"/>
    </xf>
    <xf borderId="45" fillId="0" fontId="17" numFmtId="3" xfId="0" applyAlignment="1" applyBorder="1" applyFont="1" applyNumberFormat="1">
      <alignment horizontal="center" vertical="center"/>
    </xf>
    <xf borderId="41" fillId="0" fontId="17" numFmtId="3" xfId="0" applyAlignment="1" applyBorder="1" applyFont="1" applyNumberFormat="1">
      <alignment horizontal="center" vertical="center"/>
    </xf>
    <xf borderId="50" fillId="0" fontId="9" numFmtId="0" xfId="0" applyBorder="1" applyFont="1"/>
    <xf borderId="1" fillId="3" fontId="7" numFmtId="0" xfId="0" applyAlignment="1" applyBorder="1" applyFont="1">
      <alignment horizontal="left"/>
    </xf>
    <xf borderId="0" fillId="0" fontId="7" numFmtId="0" xfId="0" applyAlignment="1" applyFont="1">
      <alignment horizontal="left" vertical="center"/>
    </xf>
    <xf borderId="40" fillId="0" fontId="9" numFmtId="3" xfId="0" applyAlignment="1" applyBorder="1" applyFont="1" applyNumberFormat="1">
      <alignment horizontal="center" vertical="center"/>
    </xf>
    <xf borderId="0" fillId="0" fontId="15" numFmtId="0" xfId="0" applyAlignment="1" applyFont="1">
      <alignment horizontal="left" vertical="center"/>
    </xf>
    <xf borderId="0" fillId="0" fontId="14" numFmtId="0" xfId="0" applyAlignment="1" applyFont="1">
      <alignment horizontal="left"/>
    </xf>
    <xf borderId="42" fillId="0" fontId="9" numFmtId="0" xfId="0" applyAlignment="1" applyBorder="1" applyFont="1">
      <alignment horizontal="center" vertical="center"/>
    </xf>
    <xf quotePrefix="1" borderId="1" fillId="3" fontId="7" numFmtId="0" xfId="0" applyBorder="1" applyFont="1"/>
    <xf quotePrefix="1" borderId="0" fillId="0" fontId="8" numFmtId="0" xfId="0" applyAlignment="1" applyFont="1">
      <alignment vertical="center"/>
    </xf>
    <xf borderId="41" fillId="0" fontId="1" numFmtId="10" xfId="0" applyAlignment="1" applyBorder="1" applyFont="1" applyNumberFormat="1">
      <alignment horizontal="center" vertical="center"/>
    </xf>
    <xf borderId="42" fillId="0" fontId="9" numFmtId="0" xfId="0" applyAlignment="1" applyBorder="1" applyFont="1">
      <alignment shrinkToFit="0" wrapText="1"/>
    </xf>
    <xf borderId="40" fillId="0" fontId="9" numFmtId="9" xfId="0" applyAlignment="1" applyBorder="1" applyFont="1" applyNumberFormat="1">
      <alignment horizontal="center" vertical="center"/>
    </xf>
    <xf borderId="0" fillId="0" fontId="9" numFmtId="0" xfId="0" applyAlignment="1" applyFont="1">
      <alignment horizontal="center" vertical="center"/>
    </xf>
    <xf borderId="0" fillId="0" fontId="8" numFmtId="0" xfId="0" applyAlignment="1" applyFont="1">
      <alignment horizontal="left" vertical="top"/>
    </xf>
    <xf borderId="0" fillId="0" fontId="9" numFmtId="0" xfId="0" applyAlignment="1" applyFont="1">
      <alignment horizontal="center"/>
    </xf>
    <xf borderId="0" fillId="0" fontId="8" numFmtId="0" xfId="0" applyAlignment="1" applyFont="1">
      <alignment horizontal="center" vertical="center"/>
    </xf>
    <xf borderId="41" fillId="0" fontId="9" numFmtId="49" xfId="0" applyAlignment="1" applyBorder="1" applyFont="1" applyNumberFormat="1">
      <alignment horizontal="center"/>
    </xf>
    <xf borderId="40" fillId="0" fontId="9" numFmtId="49" xfId="0" applyAlignment="1" applyBorder="1" applyFont="1" applyNumberFormat="1">
      <alignment horizontal="center"/>
    </xf>
    <xf borderId="44" fillId="0" fontId="9" numFmtId="0" xfId="0" applyBorder="1" applyFont="1"/>
    <xf borderId="41" fillId="0" fontId="17" numFmtId="0" xfId="0" applyAlignment="1" applyBorder="1" applyFont="1">
      <alignment shrinkToFit="0" vertical="center" wrapText="1"/>
    </xf>
    <xf borderId="51" fillId="0" fontId="7" numFmtId="0" xfId="0" applyAlignment="1" applyBorder="1" applyFont="1">
      <alignment vertical="top"/>
    </xf>
    <xf borderId="37" fillId="0" fontId="17" numFmtId="0" xfId="0" applyAlignment="1" applyBorder="1" applyFont="1">
      <alignment shrinkToFit="0" vertical="center" wrapText="1"/>
    </xf>
    <xf quotePrefix="1" borderId="0" fillId="0" fontId="7" numFmtId="0" xfId="0" applyFont="1"/>
    <xf borderId="37" fillId="0" fontId="9" numFmtId="0" xfId="0" applyAlignment="1" applyBorder="1" applyFont="1">
      <alignment horizontal="center"/>
    </xf>
    <xf borderId="40" fillId="0" fontId="9" numFmtId="9" xfId="0" applyAlignment="1" applyBorder="1" applyFont="1" applyNumberFormat="1">
      <alignment horizontal="center" shrinkToFit="0" vertical="center" wrapText="1"/>
    </xf>
    <xf borderId="0" fillId="0" fontId="9" numFmtId="0" xfId="0" applyAlignment="1" applyFont="1">
      <alignment shrinkToFit="0" vertical="center" wrapText="1"/>
    </xf>
    <xf borderId="42" fillId="0" fontId="9" numFmtId="0" xfId="0" applyAlignment="1" applyBorder="1" applyFont="1">
      <alignment vertical="center"/>
    </xf>
    <xf borderId="41" fillId="0" fontId="8" numFmtId="0" xfId="0" applyAlignment="1" applyBorder="1" applyFont="1">
      <alignment horizontal="center" shrinkToFit="0" vertical="center" wrapText="1"/>
    </xf>
    <xf borderId="41" fillId="0" fontId="16" numFmtId="0" xfId="0" applyAlignment="1" applyBorder="1" applyFont="1">
      <alignment horizontal="center" shrinkToFit="0" vertical="center" wrapText="1"/>
    </xf>
    <xf borderId="13" fillId="0" fontId="9" numFmtId="0" xfId="0" applyAlignment="1" applyBorder="1" applyFont="1">
      <alignment horizontal="center" shrinkToFit="0" vertical="center" wrapText="1"/>
    </xf>
    <xf borderId="46" fillId="0" fontId="3" numFmtId="0" xfId="0" applyBorder="1" applyFont="1"/>
    <xf borderId="36" fillId="0" fontId="3" numFmtId="0" xfId="0" applyBorder="1" applyFont="1"/>
    <xf borderId="39" fillId="0" fontId="3" numFmtId="0" xfId="0" applyBorder="1" applyFont="1"/>
    <xf borderId="41" fillId="0" fontId="9" numFmtId="166" xfId="0" applyAlignment="1" applyBorder="1" applyFont="1" applyNumberFormat="1">
      <alignment horizontal="center" vertical="center"/>
    </xf>
    <xf borderId="40" fillId="0" fontId="9" numFmtId="3" xfId="0" applyAlignment="1" applyBorder="1" applyFont="1" applyNumberFormat="1">
      <alignment horizontal="center" shrinkToFit="0" vertical="center" wrapText="1"/>
    </xf>
    <xf borderId="13" fillId="0" fontId="8" numFmtId="2" xfId="0" applyBorder="1" applyFont="1" applyNumberFormat="1"/>
    <xf borderId="13" fillId="0" fontId="18" numFmtId="0" xfId="0" applyAlignment="1" applyBorder="1" applyFont="1">
      <alignment shrinkToFit="0" vertical="center" wrapText="1"/>
    </xf>
    <xf borderId="41" fillId="0" fontId="9" numFmtId="1" xfId="0" applyAlignment="1" applyBorder="1" applyFont="1" applyNumberFormat="1">
      <alignment horizontal="center"/>
    </xf>
    <xf borderId="40" fillId="0" fontId="9" numFmtId="1" xfId="0" applyAlignment="1" applyBorder="1" applyFont="1" applyNumberFormat="1">
      <alignment horizontal="center"/>
    </xf>
    <xf quotePrefix="1" borderId="0" fillId="0" fontId="8" numFmtId="0" xfId="0" applyAlignment="1" applyFont="1">
      <alignment horizontal="left"/>
    </xf>
    <xf borderId="41" fillId="0" fontId="9" numFmtId="1" xfId="0" applyAlignment="1" applyBorder="1" applyFont="1" applyNumberFormat="1">
      <alignment horizontal="center" vertical="center"/>
    </xf>
    <xf borderId="0" fillId="0" fontId="19" numFmtId="0" xfId="0" applyAlignment="1" applyFont="1">
      <alignment horizontal="left"/>
    </xf>
    <xf quotePrefix="1" borderId="41" fillId="0" fontId="9" numFmtId="0" xfId="0" applyAlignment="1" applyBorder="1" applyFont="1">
      <alignment horizontal="center"/>
    </xf>
    <xf borderId="41" fillId="0" fontId="9" numFmtId="0" xfId="0" applyAlignment="1" applyBorder="1" applyFont="1">
      <alignment horizontal="center" shrinkToFit="0" wrapText="1"/>
    </xf>
    <xf borderId="41" fillId="0" fontId="9" numFmtId="0" xfId="0" applyAlignment="1" applyBorder="1" applyFont="1">
      <alignment shrinkToFit="0" wrapText="1"/>
    </xf>
    <xf borderId="40" fillId="0" fontId="9" numFmtId="0" xfId="0" applyAlignment="1" applyBorder="1" applyFont="1">
      <alignment horizontal="center" shrinkToFit="0" wrapText="1"/>
    </xf>
    <xf borderId="42" fillId="0" fontId="9" numFmtId="0" xfId="0" applyAlignment="1" applyBorder="1" applyFont="1">
      <alignment shrinkToFit="0" vertical="center" wrapText="1"/>
    </xf>
    <xf borderId="41" fillId="0" fontId="9" numFmtId="9" xfId="0" applyAlignment="1" applyBorder="1" applyFont="1" applyNumberFormat="1">
      <alignment horizontal="center" shrinkToFit="0" wrapText="1"/>
    </xf>
    <xf quotePrefix="1" borderId="0" fillId="0" fontId="14" numFmtId="0" xfId="0" applyAlignment="1" applyFont="1">
      <alignment horizontal="left" vertical="center"/>
    </xf>
    <xf borderId="41" fillId="0" fontId="9" numFmtId="10" xfId="0" applyBorder="1" applyFont="1" applyNumberFormat="1"/>
    <xf borderId="41" fillId="0" fontId="9" numFmtId="166" xfId="0" applyAlignment="1" applyBorder="1" applyFont="1" applyNumberFormat="1">
      <alignment horizontal="center"/>
    </xf>
    <xf borderId="16" fillId="0" fontId="9" numFmtId="0" xfId="0" applyBorder="1" applyFont="1"/>
    <xf borderId="17" fillId="0" fontId="9" numFmtId="0" xfId="0" applyBorder="1" applyFont="1"/>
    <xf borderId="17" fillId="0" fontId="17" numFmtId="0" xfId="0" applyAlignment="1" applyBorder="1" applyFont="1">
      <alignment horizontal="left"/>
    </xf>
    <xf borderId="17" fillId="0" fontId="17" numFmtId="0" xfId="0" applyAlignment="1" applyBorder="1" applyFont="1">
      <alignment horizontal="left" vertical="center"/>
    </xf>
    <xf borderId="17" fillId="0" fontId="17" numFmtId="0" xfId="0" applyBorder="1" applyFont="1"/>
    <xf borderId="18" fillId="0" fontId="9" numFmtId="0" xfId="0" applyBorder="1" applyFont="1"/>
    <xf borderId="52" fillId="0" fontId="9" numFmtId="0" xfId="0" applyBorder="1" applyFont="1"/>
    <xf borderId="53" fillId="0" fontId="9" numFmtId="0" xfId="0" applyAlignment="1" applyBorder="1" applyFont="1">
      <alignment horizontal="center"/>
    </xf>
    <xf borderId="52" fillId="0" fontId="9" numFmtId="0" xfId="0" applyAlignment="1" applyBorder="1" applyFont="1">
      <alignment horizontal="center"/>
    </xf>
    <xf borderId="53" fillId="0" fontId="9" numFmtId="10" xfId="0" applyAlignment="1" applyBorder="1" applyFont="1" applyNumberFormat="1">
      <alignment horizontal="center"/>
    </xf>
    <xf borderId="54" fillId="0" fontId="9" numFmtId="0" xfId="0" applyBorder="1" applyFont="1"/>
    <xf borderId="0" fillId="0" fontId="20" numFmtId="0" xfId="0" applyFont="1"/>
    <xf borderId="0" fillId="0" fontId="20" numFmtId="0" xfId="0" applyAlignment="1" applyFont="1">
      <alignment horizontal="center"/>
    </xf>
    <xf borderId="0" fillId="0" fontId="21" numFmtId="0" xfId="0" applyAlignment="1" applyFont="1">
      <alignment horizontal="center"/>
    </xf>
    <xf borderId="0" fillId="0" fontId="22" numFmtId="0" xfId="0" applyFont="1"/>
    <xf borderId="0" fillId="0" fontId="22" numFmtId="0" xfId="0" applyAlignment="1" applyFont="1">
      <alignment horizontal="left"/>
    </xf>
    <xf borderId="0" fillId="0" fontId="20" numFmtId="0" xfId="0" applyAlignment="1" applyFont="1">
      <alignment horizontal="left"/>
    </xf>
    <xf borderId="0" fillId="0" fontId="23" numFmtId="0" xfId="0" applyFont="1"/>
    <xf borderId="0" fillId="0" fontId="23" numFmtId="0" xfId="0" applyAlignment="1" applyFont="1">
      <alignment horizontal="center"/>
    </xf>
    <xf borderId="0" fillId="0" fontId="24" numFmtId="0" xfId="0" applyFont="1"/>
    <xf borderId="0" fillId="0" fontId="24" numFmtId="0" xfId="0" applyAlignment="1" applyFont="1">
      <alignment horizontal="center"/>
    </xf>
    <xf borderId="2" fillId="2" fontId="5" numFmtId="0" xfId="0" applyAlignment="1" applyBorder="1" applyFont="1">
      <alignment horizontal="center" readingOrder="0"/>
    </xf>
    <xf borderId="1" fillId="2" fontId="6" numFmtId="0" xfId="0" applyAlignment="1" applyBorder="1" applyFont="1">
      <alignment horizontal="left"/>
    </xf>
    <xf borderId="55" fillId="0" fontId="3" numFmtId="0" xfId="0" applyBorder="1" applyFont="1"/>
    <xf borderId="11" fillId="2" fontId="6" numFmtId="0" xfId="0" applyAlignment="1" applyBorder="1" applyFont="1">
      <alignment horizontal="center" readingOrder="0" shrinkToFit="0" vertical="center" wrapText="1"/>
    </xf>
    <xf borderId="56" fillId="0" fontId="3" numFmtId="0" xfId="0" applyBorder="1" applyFont="1"/>
    <xf borderId="57" fillId="0" fontId="3" numFmtId="0" xfId="0" applyBorder="1" applyFont="1"/>
    <xf borderId="58" fillId="0" fontId="3" numFmtId="0" xfId="0" applyBorder="1" applyFont="1"/>
    <xf borderId="37" fillId="0" fontId="25" numFmtId="0" xfId="0" applyBorder="1" applyFont="1"/>
    <xf borderId="36" fillId="0" fontId="25" numFmtId="0" xfId="0" applyBorder="1" applyFont="1"/>
    <xf borderId="38" fillId="0" fontId="25" numFmtId="0" xfId="0" applyAlignment="1" applyBorder="1" applyFont="1">
      <alignment horizontal="center"/>
    </xf>
    <xf borderId="39" fillId="0" fontId="25" numFmtId="0" xfId="0" applyBorder="1" applyFont="1"/>
    <xf borderId="41" fillId="0" fontId="25" numFmtId="0" xfId="0" applyBorder="1" applyFont="1"/>
    <xf borderId="40" fillId="0" fontId="25" numFmtId="0" xfId="0" applyBorder="1" applyFont="1"/>
    <xf borderId="42" fillId="0" fontId="25" numFmtId="0" xfId="0" applyBorder="1" applyFont="1"/>
    <xf borderId="41" fillId="0" fontId="25" numFmtId="0" xfId="0" applyAlignment="1" applyBorder="1" applyFont="1">
      <alignment horizontal="center"/>
    </xf>
    <xf borderId="40" fillId="0" fontId="25" numFmtId="0" xfId="0" applyAlignment="1" applyBorder="1" applyFont="1">
      <alignment horizontal="center"/>
    </xf>
    <xf borderId="41" fillId="0" fontId="26" numFmtId="0" xfId="0" applyAlignment="1" applyBorder="1" applyFont="1">
      <alignment horizontal="center" shrinkToFit="0" vertical="center" wrapText="1"/>
    </xf>
    <xf borderId="40" fillId="0" fontId="26" numFmtId="0" xfId="0" applyAlignment="1" applyBorder="1" applyFont="1">
      <alignment horizontal="center" shrinkToFit="0" vertical="center" wrapText="1"/>
    </xf>
    <xf borderId="48" fillId="4" fontId="27" numFmtId="0" xfId="0" applyAlignment="1" applyBorder="1" applyFill="1" applyFont="1">
      <alignment horizontal="left" vertical="center"/>
    </xf>
    <xf borderId="59" fillId="4" fontId="28" numFmtId="0" xfId="0" applyAlignment="1" applyBorder="1" applyFont="1">
      <alignment horizontal="left" shrinkToFit="0" vertical="center" wrapText="1"/>
    </xf>
    <xf borderId="48" fillId="5" fontId="27" numFmtId="0" xfId="0" applyAlignment="1" applyBorder="1" applyFill="1" applyFont="1">
      <alignment horizontal="left" vertical="center"/>
    </xf>
    <xf borderId="59" fillId="5" fontId="28" numFmtId="0" xfId="0" applyAlignment="1" applyBorder="1" applyFont="1">
      <alignment horizontal="left" shrinkToFit="0" vertical="center" wrapText="1"/>
    </xf>
    <xf borderId="41" fillId="0" fontId="7" numFmtId="10" xfId="0" applyAlignment="1" applyBorder="1" applyFont="1" applyNumberFormat="1">
      <alignment horizontal="center" shrinkToFit="0" vertical="center" wrapText="1"/>
    </xf>
    <xf borderId="41" fillId="0" fontId="25" numFmtId="0" xfId="0" applyAlignment="1" applyBorder="1" applyFont="1">
      <alignment shrinkToFit="0" vertical="center" wrapText="1"/>
    </xf>
    <xf borderId="48" fillId="6" fontId="27" numFmtId="0" xfId="0" applyAlignment="1" applyBorder="1" applyFill="1" applyFont="1">
      <alignment horizontal="left" vertical="center"/>
    </xf>
    <xf borderId="48" fillId="6" fontId="28" numFmtId="0" xfId="0" applyAlignment="1" applyBorder="1" applyFont="1">
      <alignment horizontal="left" shrinkToFit="0" vertical="center" wrapText="1"/>
    </xf>
    <xf borderId="41" fillId="0" fontId="7" numFmtId="0" xfId="0" applyAlignment="1" applyBorder="1" applyFont="1">
      <alignment horizontal="right" shrinkToFit="0" vertical="center" wrapText="1"/>
    </xf>
    <xf borderId="40" fillId="0" fontId="7" numFmtId="0" xfId="0" applyAlignment="1" applyBorder="1" applyFont="1">
      <alignment horizontal="right" shrinkToFit="0" vertical="center" wrapText="1"/>
    </xf>
    <xf borderId="41" fillId="0" fontId="9" numFmtId="9" xfId="0" applyAlignment="1" applyBorder="1" applyFont="1" applyNumberFormat="1">
      <alignment horizontal="right" vertical="center"/>
    </xf>
    <xf borderId="40" fillId="0" fontId="8" numFmtId="10" xfId="0" applyAlignment="1" applyBorder="1" applyFont="1" applyNumberFormat="1">
      <alignment horizontal="center" shrinkToFit="0" vertical="center" wrapText="1"/>
    </xf>
    <xf borderId="41" fillId="0" fontId="8" numFmtId="10" xfId="0" applyAlignment="1" applyBorder="1" applyFont="1" applyNumberFormat="1">
      <alignment horizontal="center" shrinkToFit="0" vertical="center" wrapText="1"/>
    </xf>
    <xf borderId="44" fillId="0" fontId="25" numFmtId="0" xfId="0" applyAlignment="1" applyBorder="1" applyFont="1">
      <alignment horizontal="center" shrinkToFit="0" vertical="center" wrapText="1"/>
    </xf>
    <xf borderId="48" fillId="7" fontId="27" numFmtId="0" xfId="0" applyAlignment="1" applyBorder="1" applyFill="1" applyFont="1">
      <alignment horizontal="left" shrinkToFit="0" vertical="center" wrapText="1"/>
    </xf>
    <xf borderId="40" fillId="0" fontId="8" numFmtId="9" xfId="0" applyAlignment="1" applyBorder="1" applyFont="1" applyNumberFormat="1">
      <alignment horizontal="center" shrinkToFit="0" vertical="center" wrapText="1"/>
    </xf>
    <xf borderId="41" fillId="0" fontId="8" numFmtId="10" xfId="0" applyAlignment="1" applyBorder="1" applyFont="1" applyNumberFormat="1">
      <alignment horizontal="center" readingOrder="0" shrinkToFit="0" vertical="center" wrapText="1"/>
    </xf>
    <xf borderId="48" fillId="7" fontId="28" numFmtId="0" xfId="0" applyAlignment="1" applyBorder="1" applyFont="1">
      <alignment horizontal="left" shrinkToFit="0" vertical="center" wrapText="1"/>
    </xf>
    <xf borderId="48" fillId="7" fontId="29" numFmtId="0" xfId="0" applyAlignment="1" applyBorder="1" applyFont="1">
      <alignment horizontal="left" shrinkToFit="0" vertical="center" wrapText="1"/>
    </xf>
    <xf borderId="41" fillId="0" fontId="7" numFmtId="3" xfId="0" applyAlignment="1" applyBorder="1" applyFont="1" applyNumberFormat="1">
      <alignment horizontal="right"/>
    </xf>
    <xf borderId="40" fillId="0" fontId="7" numFmtId="3" xfId="0" applyAlignment="1" applyBorder="1" applyFont="1" applyNumberFormat="1">
      <alignment horizontal="right"/>
    </xf>
    <xf borderId="41" fillId="0" fontId="9" numFmtId="10" xfId="0" applyAlignment="1" applyBorder="1" applyFont="1" applyNumberFormat="1">
      <alignment horizontal="center" readingOrder="0" vertical="center"/>
    </xf>
    <xf borderId="41" fillId="0" fontId="8" numFmtId="3" xfId="0" applyAlignment="1" applyBorder="1" applyFont="1" applyNumberFormat="1">
      <alignment horizontal="right"/>
    </xf>
    <xf borderId="40" fillId="0" fontId="8" numFmtId="3" xfId="0" applyAlignment="1" applyBorder="1" applyFont="1" applyNumberFormat="1">
      <alignment horizontal="right"/>
    </xf>
    <xf borderId="41" fillId="0" fontId="9" numFmtId="9" xfId="0" applyAlignment="1" applyBorder="1" applyFont="1" applyNumberFormat="1">
      <alignment horizontal="right" readingOrder="0" vertical="center"/>
    </xf>
    <xf borderId="48" fillId="8" fontId="30" numFmtId="0" xfId="0" applyAlignment="1" applyBorder="1" applyFill="1" applyFont="1">
      <alignment horizontal="left" shrinkToFit="0" vertical="center" wrapText="1"/>
    </xf>
    <xf borderId="48" fillId="8" fontId="29" numFmtId="0" xfId="0" applyAlignment="1" applyBorder="1" applyFont="1">
      <alignment horizontal="left" shrinkToFit="0" vertical="center" wrapText="1"/>
    </xf>
    <xf borderId="41" fillId="0" fontId="9" numFmtId="3" xfId="0" applyAlignment="1" applyBorder="1" applyFont="1" applyNumberFormat="1">
      <alignment horizontal="center" readingOrder="0" vertical="center"/>
    </xf>
    <xf borderId="41" fillId="0" fontId="8" numFmtId="9" xfId="0" applyAlignment="1" applyBorder="1" applyFont="1" applyNumberFormat="1">
      <alignment horizontal="center"/>
    </xf>
    <xf borderId="41" fillId="0" fontId="9" numFmtId="0" xfId="0" applyAlignment="1" applyBorder="1" applyFont="1">
      <alignment horizontal="center" readingOrder="0" vertical="center"/>
    </xf>
    <xf borderId="41" fillId="0" fontId="1" numFmtId="3" xfId="0" applyAlignment="1" applyBorder="1" applyFont="1" applyNumberFormat="1">
      <alignment horizontal="center"/>
    </xf>
    <xf borderId="40" fillId="0" fontId="1" numFmtId="3" xfId="0" applyAlignment="1" applyBorder="1" applyFont="1" applyNumberFormat="1">
      <alignment horizontal="center"/>
    </xf>
    <xf borderId="41" fillId="0" fontId="9" numFmtId="1" xfId="0" applyAlignment="1" applyBorder="1" applyFont="1" applyNumberFormat="1">
      <alignment horizontal="center" readingOrder="0"/>
    </xf>
    <xf borderId="45" fillId="0" fontId="9" numFmtId="1" xfId="0" applyAlignment="1" applyBorder="1" applyFont="1" applyNumberFormat="1">
      <alignment horizontal="center"/>
    </xf>
    <xf borderId="45" fillId="0" fontId="9" numFmtId="2" xfId="0" applyAlignment="1" applyBorder="1" applyFont="1" applyNumberFormat="1">
      <alignment horizontal="center" vertical="center"/>
    </xf>
    <xf borderId="41" fillId="0" fontId="1" numFmtId="0" xfId="0" applyAlignment="1" applyBorder="1" applyFont="1">
      <alignment horizontal="center" vertical="center"/>
    </xf>
    <xf borderId="40" fillId="0" fontId="1" numFmtId="3" xfId="0" applyAlignment="1" applyBorder="1" applyFont="1" applyNumberFormat="1">
      <alignment horizontal="center" vertical="center"/>
    </xf>
    <xf borderId="41" fillId="0" fontId="1" numFmtId="3" xfId="0" applyAlignment="1" applyBorder="1" applyFont="1" applyNumberFormat="1">
      <alignment horizontal="center" vertical="center"/>
    </xf>
    <xf borderId="41" fillId="0" fontId="25" numFmtId="0" xfId="0" applyAlignment="1" applyBorder="1" applyFont="1">
      <alignment horizontal="center" shrinkToFit="0" vertical="center" wrapText="1"/>
    </xf>
    <xf borderId="59" fillId="6" fontId="27" numFmtId="0" xfId="0" applyAlignment="1" applyBorder="1" applyFont="1">
      <alignment horizontal="left" vertical="center"/>
    </xf>
    <xf borderId="60" fillId="6" fontId="27" numFmtId="0" xfId="0" applyAlignment="1" applyBorder="1" applyFont="1">
      <alignment horizontal="left" vertical="center"/>
    </xf>
    <xf borderId="41" fillId="0" fontId="9" numFmtId="1" xfId="0" applyAlignment="1" applyBorder="1" applyFont="1" applyNumberFormat="1">
      <alignment horizontal="center" readingOrder="0" vertical="center"/>
    </xf>
    <xf borderId="45" fillId="0" fontId="9" numFmtId="1" xfId="0" applyAlignment="1" applyBorder="1" applyFont="1" applyNumberFormat="1">
      <alignment horizontal="center" vertical="center"/>
    </xf>
    <xf borderId="42" fillId="0" fontId="25" numFmtId="0" xfId="0" applyAlignment="1" applyBorder="1" applyFont="1">
      <alignment horizontal="center" shrinkToFit="0" vertical="center" wrapText="1"/>
    </xf>
    <xf borderId="59" fillId="7" fontId="28" numFmtId="0" xfId="0" applyAlignment="1" applyBorder="1" applyFont="1">
      <alignment horizontal="left" shrinkToFit="0" vertical="center" wrapText="1"/>
    </xf>
    <xf borderId="48" fillId="2" fontId="27" numFmtId="0" xfId="0" applyAlignment="1" applyBorder="1" applyFont="1">
      <alignment horizontal="left" shrinkToFit="0" vertical="center" wrapText="1"/>
    </xf>
    <xf borderId="41" fillId="0" fontId="25" numFmtId="0" xfId="0" applyAlignment="1" applyBorder="1" applyFont="1">
      <alignment horizontal="center" vertical="center"/>
    </xf>
    <xf borderId="40" fillId="0" fontId="25" numFmtId="0" xfId="0" applyAlignment="1" applyBorder="1" applyFont="1">
      <alignment horizontal="center" vertical="center"/>
    </xf>
    <xf borderId="48" fillId="2" fontId="29" numFmtId="0" xfId="0" applyAlignment="1" applyBorder="1" applyFont="1">
      <alignment horizontal="left" shrinkToFit="0" vertical="center" wrapText="1"/>
    </xf>
    <xf borderId="41" fillId="0" fontId="9" numFmtId="3" xfId="0" applyAlignment="1" applyBorder="1" applyFont="1" applyNumberFormat="1">
      <alignment horizontal="center" readingOrder="0"/>
    </xf>
    <xf borderId="59" fillId="5" fontId="27" numFmtId="0" xfId="0" applyAlignment="1" applyBorder="1" applyFont="1">
      <alignment horizontal="left" vertical="center"/>
    </xf>
    <xf borderId="60" fillId="5" fontId="27" numFmtId="0" xfId="0" applyAlignment="1" applyBorder="1" applyFont="1">
      <alignment horizontal="left" vertical="center"/>
    </xf>
    <xf borderId="41" fillId="0" fontId="25" numFmtId="3" xfId="0" applyAlignment="1" applyBorder="1" applyFont="1" applyNumberFormat="1">
      <alignment horizontal="center"/>
    </xf>
    <xf borderId="40" fillId="0" fontId="25" numFmtId="3" xfId="0" applyAlignment="1" applyBorder="1" applyFont="1" applyNumberFormat="1">
      <alignment horizontal="center"/>
    </xf>
    <xf borderId="45" fillId="0" fontId="9" numFmtId="3" xfId="0" applyAlignment="1" applyBorder="1" applyFont="1" applyNumberFormat="1">
      <alignment horizontal="center" shrinkToFit="0" vertical="center" wrapText="1"/>
    </xf>
    <xf borderId="48" fillId="0" fontId="31" numFmtId="0" xfId="0" applyAlignment="1" applyBorder="1" applyFont="1">
      <alignment horizontal="left" shrinkToFit="0" vertical="top" wrapText="1"/>
    </xf>
    <xf borderId="37" fillId="0" fontId="25" numFmtId="3" xfId="0" applyAlignment="1" applyBorder="1" applyFont="1" applyNumberFormat="1">
      <alignment horizontal="center" vertical="center"/>
    </xf>
    <xf borderId="36" fillId="0" fontId="25" numFmtId="0" xfId="0" applyAlignment="1" applyBorder="1" applyFont="1">
      <alignment horizontal="center" vertical="center"/>
    </xf>
    <xf borderId="36" fillId="0" fontId="25" numFmtId="3" xfId="0" applyAlignment="1" applyBorder="1" applyFont="1" applyNumberFormat="1">
      <alignment horizontal="center" vertical="center"/>
    </xf>
    <xf borderId="37" fillId="0" fontId="9" numFmtId="1" xfId="0" applyAlignment="1" applyBorder="1" applyFont="1" applyNumberFormat="1">
      <alignment horizontal="center" vertical="center"/>
    </xf>
    <xf borderId="46" fillId="0" fontId="9" numFmtId="1" xfId="0" applyAlignment="1" applyBorder="1" applyFont="1" applyNumberFormat="1">
      <alignment horizontal="center" vertical="center"/>
    </xf>
    <xf borderId="61" fillId="2" fontId="27" numFmtId="0" xfId="0" applyAlignment="1" applyBorder="1" applyFont="1">
      <alignment horizontal="left" shrinkToFit="0" vertical="center" wrapText="1"/>
    </xf>
    <xf borderId="37" fillId="0" fontId="9" numFmtId="3" xfId="0" applyAlignment="1" applyBorder="1" applyFont="1" applyNumberFormat="1">
      <alignment horizontal="center" readingOrder="0"/>
    </xf>
    <xf borderId="37" fillId="0" fontId="9" numFmtId="3" xfId="0" applyAlignment="1" applyBorder="1" applyFont="1" applyNumberFormat="1">
      <alignment horizontal="center" readingOrder="0" vertical="center"/>
    </xf>
    <xf borderId="46" fillId="0" fontId="9" numFmtId="3" xfId="0" applyAlignment="1" applyBorder="1" applyFont="1" applyNumberFormat="1">
      <alignment horizontal="center" vertical="center"/>
    </xf>
    <xf borderId="39" fillId="0" fontId="25" numFmtId="0" xfId="0" applyAlignment="1" applyBorder="1" applyFont="1">
      <alignment horizontal="center" shrinkToFit="0" vertical="center" wrapText="1"/>
    </xf>
    <xf borderId="45" fillId="0" fontId="9" numFmtId="3" xfId="0" applyAlignment="1" applyBorder="1" applyFont="1" applyNumberFormat="1">
      <alignment vertical="center"/>
    </xf>
    <xf borderId="62" fillId="2" fontId="27" numFmtId="0" xfId="0" applyAlignment="1" applyBorder="1" applyFont="1">
      <alignment horizontal="left" shrinkToFit="0" vertical="center" wrapText="1"/>
    </xf>
    <xf borderId="62" fillId="8" fontId="29" numFmtId="0" xfId="0" applyAlignment="1" applyBorder="1" applyFont="1">
      <alignment horizontal="left" shrinkToFit="0" vertical="center" wrapText="1"/>
    </xf>
    <xf borderId="42" fillId="0" fontId="25" numFmtId="0" xfId="0" applyAlignment="1" applyBorder="1" applyFont="1">
      <alignment horizontal="center"/>
    </xf>
    <xf borderId="41" fillId="0" fontId="25" numFmtId="10" xfId="0" applyAlignment="1" applyBorder="1" applyFont="1" applyNumberFormat="1">
      <alignment horizontal="center"/>
    </xf>
    <xf borderId="42" fillId="0" fontId="25" numFmtId="0" xfId="0" applyAlignment="1" applyBorder="1" applyFont="1">
      <alignment horizontal="center" shrinkToFit="0" wrapText="1"/>
    </xf>
    <xf borderId="41" fillId="0" fontId="25" numFmtId="1" xfId="0" applyAlignment="1" applyBorder="1" applyFont="1" applyNumberFormat="1">
      <alignment horizontal="center"/>
    </xf>
    <xf borderId="48" fillId="5" fontId="27" numFmtId="0" xfId="0" applyAlignment="1" applyBorder="1" applyFont="1">
      <alignment horizontal="left" shrinkToFit="0" vertical="center" wrapText="1"/>
    </xf>
    <xf borderId="62" fillId="6" fontId="27" numFmtId="0" xfId="0" applyAlignment="1" applyBorder="1" applyFont="1">
      <alignment horizontal="left" shrinkToFit="0" vertical="center" wrapText="1"/>
    </xf>
    <xf borderId="48" fillId="7" fontId="28" numFmtId="0" xfId="0" applyAlignment="1" applyBorder="1" applyFont="1">
      <alignment horizontal="left" vertical="center"/>
    </xf>
    <xf borderId="40" fillId="0" fontId="9" numFmtId="1" xfId="0" applyAlignment="1" applyBorder="1" applyFont="1" applyNumberFormat="1">
      <alignment horizontal="center" readingOrder="0"/>
    </xf>
    <xf borderId="59" fillId="8" fontId="29" numFmtId="0" xfId="0" applyAlignment="1" applyBorder="1" applyFont="1">
      <alignment horizontal="left" shrinkToFit="0" vertical="center" wrapText="1"/>
    </xf>
    <xf borderId="59" fillId="2" fontId="29" numFmtId="0" xfId="0" applyAlignment="1" applyBorder="1" applyFont="1">
      <alignment horizontal="left" shrinkToFit="0" vertical="center" wrapText="1"/>
    </xf>
    <xf borderId="40" fillId="0" fontId="9" numFmtId="0" xfId="0" applyAlignment="1" applyBorder="1" applyFont="1">
      <alignment horizontal="center" readingOrder="0"/>
    </xf>
    <xf borderId="41" fillId="0" fontId="9" numFmtId="0" xfId="0" applyAlignment="1" applyBorder="1" applyFont="1">
      <alignment horizontal="center" vertical="center"/>
    </xf>
    <xf borderId="41" fillId="0" fontId="25" numFmtId="9" xfId="0" applyAlignment="1" applyBorder="1" applyFont="1" applyNumberFormat="1">
      <alignment horizontal="center"/>
    </xf>
    <xf borderId="41" fillId="0" fontId="9" numFmtId="0" xfId="0" applyAlignment="1" applyBorder="1" applyFont="1">
      <alignment horizontal="center" readingOrder="0"/>
    </xf>
    <xf borderId="1" fillId="7" fontId="27" numFmtId="0" xfId="0" applyAlignment="1" applyBorder="1" applyFont="1">
      <alignment horizontal="left" shrinkToFit="0" vertical="center" wrapText="1"/>
    </xf>
    <xf borderId="59" fillId="9" fontId="27" numFmtId="0" xfId="0" applyAlignment="1" applyBorder="1" applyFill="1" applyFont="1">
      <alignment horizontal="left" vertical="center"/>
    </xf>
    <xf borderId="60" fillId="9" fontId="27" numFmtId="0" xfId="0" applyAlignment="1" applyBorder="1" applyFont="1">
      <alignment horizontal="left" vertical="center"/>
    </xf>
    <xf borderId="60" fillId="7" fontId="27" numFmtId="0" xfId="0" applyAlignment="1" applyBorder="1" applyFont="1">
      <alignment horizontal="left" shrinkToFit="0" vertical="center" wrapText="1"/>
    </xf>
    <xf borderId="60" fillId="8" fontId="29" numFmtId="0" xfId="0" applyAlignment="1" applyBorder="1" applyFont="1">
      <alignment horizontal="left" shrinkToFit="0" vertical="center" wrapText="1"/>
    </xf>
    <xf borderId="48" fillId="10" fontId="27" numFmtId="0" xfId="0" applyAlignment="1" applyBorder="1" applyFill="1" applyFont="1">
      <alignment horizontal="left" shrinkToFit="0" vertical="center" wrapText="1"/>
    </xf>
    <xf borderId="41" fillId="0" fontId="16" numFmtId="1" xfId="0" applyAlignment="1" applyBorder="1" applyFont="1" applyNumberFormat="1">
      <alignment horizontal="center" shrinkToFit="0" wrapText="1"/>
    </xf>
    <xf borderId="41" fillId="0" fontId="16" numFmtId="1" xfId="0" applyAlignment="1" applyBorder="1" applyFont="1" applyNumberFormat="1">
      <alignment horizontal="center" readingOrder="0" shrinkToFit="0" wrapText="1"/>
    </xf>
    <xf borderId="41" fillId="0" fontId="16" numFmtId="1" xfId="0" applyAlignment="1" applyBorder="1" applyFont="1" applyNumberFormat="1">
      <alignment horizontal="center" shrinkToFit="0" vertical="center" wrapText="1"/>
    </xf>
    <xf borderId="40" fillId="0" fontId="16" numFmtId="1" xfId="0" applyAlignment="1" applyBorder="1" applyFont="1" applyNumberFormat="1">
      <alignment horizontal="center" shrinkToFit="0" wrapText="1"/>
    </xf>
    <xf borderId="41" fillId="0" fontId="9" numFmtId="1" xfId="0" applyAlignment="1" applyBorder="1" applyFont="1" applyNumberFormat="1">
      <alignment horizontal="center" readingOrder="0" shrinkToFit="0" wrapText="1"/>
    </xf>
    <xf borderId="40" fillId="0" fontId="16" numFmtId="0" xfId="0" applyAlignment="1" applyBorder="1" applyFont="1">
      <alignment horizontal="center" readingOrder="0" shrinkToFit="0" vertical="center" wrapText="1"/>
    </xf>
    <xf borderId="41" fillId="0" fontId="17" numFmtId="1" xfId="0" applyAlignment="1" applyBorder="1" applyFont="1" applyNumberFormat="1">
      <alignment horizontal="center" shrinkToFit="0" vertical="center" wrapText="1"/>
    </xf>
    <xf borderId="40" fillId="0" fontId="9" numFmtId="9" xfId="0" applyAlignment="1" applyBorder="1" applyFont="1" applyNumberFormat="1">
      <alignment horizontal="center" readingOrder="0"/>
    </xf>
    <xf borderId="41" fillId="0" fontId="9" numFmtId="9" xfId="0" applyAlignment="1" applyBorder="1" applyFont="1" applyNumberFormat="1">
      <alignment horizontal="center" readingOrder="0"/>
    </xf>
    <xf borderId="40" fillId="0" fontId="9" numFmtId="10" xfId="0" applyAlignment="1" applyBorder="1" applyFont="1" applyNumberFormat="1">
      <alignment horizontal="center" readingOrder="0"/>
    </xf>
    <xf borderId="41" fillId="0" fontId="9" numFmtId="10" xfId="0" applyAlignment="1" applyBorder="1" applyFont="1" applyNumberFormat="1">
      <alignment shrinkToFit="0" wrapText="1"/>
    </xf>
    <xf borderId="60" fillId="6" fontId="27" numFmtId="0" xfId="0" applyAlignment="1" applyBorder="1" applyFont="1">
      <alignment horizontal="left" shrinkToFit="0" vertical="center" wrapText="1"/>
    </xf>
    <xf borderId="41" fillId="0" fontId="25" numFmtId="9" xfId="0" applyAlignment="1" applyBorder="1" applyFont="1" applyNumberFormat="1">
      <alignment horizontal="center" vertical="center"/>
    </xf>
    <xf borderId="48" fillId="0" fontId="17" numFmtId="10" xfId="0" applyAlignment="1" applyBorder="1" applyFont="1" applyNumberFormat="1">
      <alignment horizontal="center" readingOrder="0" shrinkToFit="0" wrapText="1"/>
    </xf>
    <xf borderId="41" fillId="0" fontId="25" numFmtId="10" xfId="0" applyBorder="1" applyFont="1" applyNumberFormat="1"/>
    <xf borderId="60" fillId="6" fontId="29" numFmtId="0" xfId="0" applyAlignment="1" applyBorder="1" applyFont="1">
      <alignment horizontal="left" shrinkToFit="0" vertical="center" wrapText="1"/>
    </xf>
    <xf borderId="41" fillId="0" fontId="25" numFmtId="3" xfId="0" applyAlignment="1" applyBorder="1" applyFont="1" applyNumberFormat="1">
      <alignment horizontal="center" shrinkToFit="0" vertical="center" wrapText="1"/>
    </xf>
    <xf borderId="41" fillId="0" fontId="25" numFmtId="3" xfId="0" applyAlignment="1" applyBorder="1" applyFont="1" applyNumberFormat="1">
      <alignment horizontal="center" vertical="center"/>
    </xf>
    <xf borderId="48" fillId="2" fontId="27" numFmtId="0" xfId="0" applyAlignment="1" applyBorder="1" applyFont="1">
      <alignment horizontal="left" vertical="center"/>
    </xf>
    <xf borderId="48" fillId="7" fontId="27" numFmtId="0" xfId="0" applyAlignment="1" applyBorder="1" applyFont="1">
      <alignment horizontal="left" vertical="center"/>
    </xf>
    <xf borderId="41" fillId="0" fontId="32" numFmtId="0" xfId="0" applyAlignment="1" applyBorder="1" applyFont="1">
      <alignment readingOrder="0"/>
    </xf>
    <xf borderId="48" fillId="5" fontId="28" numFmtId="0" xfId="0" applyAlignment="1" applyBorder="1" applyFont="1">
      <alignment horizontal="left" vertical="center"/>
    </xf>
    <xf quotePrefix="1" borderId="41" fillId="0" fontId="17" numFmtId="9" xfId="0" applyAlignment="1" applyBorder="1" applyFont="1" applyNumberFormat="1">
      <alignment horizontal="center" vertical="center"/>
    </xf>
    <xf borderId="48" fillId="6" fontId="28" numFmtId="0" xfId="0" applyAlignment="1" applyBorder="1" applyFont="1">
      <alignment horizontal="left" vertical="center"/>
    </xf>
    <xf borderId="41" fillId="0" fontId="25" numFmtId="0" xfId="0" applyAlignment="1" applyBorder="1" applyFont="1">
      <alignment vertical="center"/>
    </xf>
    <xf borderId="48" fillId="2" fontId="28" numFmtId="0" xfId="0" applyAlignment="1" applyBorder="1" applyFont="1">
      <alignment horizontal="left" vertical="center"/>
    </xf>
    <xf borderId="60" fillId="2" fontId="27" numFmtId="0" xfId="0" applyAlignment="1" applyBorder="1" applyFont="1">
      <alignment horizontal="left" shrinkToFit="0" vertical="center" wrapText="1"/>
    </xf>
    <xf borderId="60" fillId="2" fontId="29" numFmtId="0" xfId="0" applyAlignment="1" applyBorder="1" applyFont="1">
      <alignment horizontal="left" shrinkToFit="0" vertical="center" wrapText="1"/>
    </xf>
    <xf borderId="41" fillId="0" fontId="9" numFmtId="9" xfId="0" applyAlignment="1" applyBorder="1" applyFont="1" applyNumberFormat="1">
      <alignment vertical="center"/>
    </xf>
    <xf borderId="45" fillId="0" fontId="9" numFmtId="3" xfId="0" applyAlignment="1" applyBorder="1" applyFont="1" applyNumberFormat="1">
      <alignment horizontal="center" readingOrder="0" vertical="center"/>
    </xf>
    <xf borderId="48" fillId="0" fontId="9" numFmtId="9" xfId="0" applyAlignment="1" applyBorder="1" applyFont="1" applyNumberFormat="1">
      <alignment horizontal="center" vertical="center"/>
    </xf>
    <xf borderId="48" fillId="0" fontId="9" numFmtId="9" xfId="0" applyAlignment="1" applyBorder="1" applyFont="1" applyNumberFormat="1">
      <alignment horizontal="center"/>
    </xf>
    <xf borderId="41" fillId="0" fontId="9" numFmtId="9" xfId="0" applyBorder="1" applyFont="1" applyNumberFormat="1"/>
    <xf borderId="48" fillId="0" fontId="9" numFmtId="9" xfId="0" applyAlignment="1" applyBorder="1" applyFont="1" applyNumberFormat="1">
      <alignment horizontal="center" shrinkToFit="0" vertical="center" wrapText="1"/>
    </xf>
    <xf borderId="63" fillId="2" fontId="28" numFmtId="0" xfId="0" applyAlignment="1" applyBorder="1" applyFont="1">
      <alignment horizontal="left" vertical="center"/>
    </xf>
    <xf borderId="41" fillId="0" fontId="9" numFmtId="3" xfId="0" applyAlignment="1" applyBorder="1" applyFont="1" applyNumberFormat="1">
      <alignment readingOrder="0"/>
    </xf>
    <xf borderId="40" fillId="0" fontId="9" numFmtId="3" xfId="0" applyAlignment="1" applyBorder="1" applyFont="1" applyNumberFormat="1">
      <alignment horizontal="center" readingOrder="0"/>
    </xf>
    <xf borderId="41" fillId="0" fontId="9" numFmtId="3" xfId="0" applyAlignment="1" applyBorder="1" applyFont="1" applyNumberFormat="1">
      <alignment horizontal="right"/>
    </xf>
    <xf borderId="41" fillId="0" fontId="9" numFmtId="0" xfId="0" applyAlignment="1" applyBorder="1" applyFont="1">
      <alignment horizontal="right"/>
    </xf>
    <xf borderId="48" fillId="10" fontId="29" numFmtId="0" xfId="0" applyAlignment="1" applyBorder="1" applyFont="1">
      <alignment horizontal="left" shrinkToFit="0" vertical="center" wrapText="1"/>
    </xf>
    <xf borderId="50" fillId="0" fontId="25" numFmtId="0" xfId="0" applyBorder="1" applyFont="1"/>
    <xf borderId="40" fillId="0" fontId="25" numFmtId="3" xfId="0" applyAlignment="1" applyBorder="1" applyFont="1" applyNumberFormat="1">
      <alignment horizontal="center" vertical="center"/>
    </xf>
    <xf borderId="40" fillId="0" fontId="25" numFmtId="9" xfId="0" applyAlignment="1" applyBorder="1" applyFont="1" applyNumberFormat="1">
      <alignment horizontal="center"/>
    </xf>
    <xf borderId="42" fillId="0" fontId="25" numFmtId="0" xfId="0" applyAlignment="1" applyBorder="1" applyFont="1">
      <alignment shrinkToFit="0" wrapText="1"/>
    </xf>
    <xf borderId="48" fillId="0" fontId="29" numFmtId="0" xfId="0" applyAlignment="1" applyBorder="1" applyFont="1">
      <alignment horizontal="left" shrinkToFit="0" vertical="center" wrapText="1"/>
    </xf>
    <xf borderId="48" fillId="0" fontId="27" numFmtId="0" xfId="0" applyAlignment="1" applyBorder="1" applyFont="1">
      <alignment horizontal="left" shrinkToFit="0" vertical="center" wrapText="1"/>
    </xf>
    <xf borderId="48" fillId="2" fontId="28" numFmtId="49" xfId="0" applyAlignment="1" applyBorder="1" applyFont="1" applyNumberFormat="1">
      <alignment horizontal="left" vertical="center"/>
    </xf>
    <xf borderId="45" fillId="0" fontId="9" numFmtId="9" xfId="0" applyAlignment="1" applyBorder="1" applyFont="1" applyNumberFormat="1">
      <alignment horizontal="center" vertical="center"/>
    </xf>
    <xf borderId="48" fillId="0" fontId="9" numFmtId="10" xfId="0" applyAlignment="1" applyBorder="1" applyFont="1" applyNumberFormat="1">
      <alignment horizontal="center" vertical="center"/>
    </xf>
    <xf borderId="42" fillId="0" fontId="9" numFmtId="9" xfId="0" applyAlignment="1" applyBorder="1" applyFont="1" applyNumberFormat="1">
      <alignment horizontal="center" vertical="center"/>
    </xf>
    <xf borderId="42" fillId="0" fontId="25" numFmtId="0" xfId="0" applyAlignment="1" applyBorder="1" applyFont="1">
      <alignment readingOrder="0"/>
    </xf>
    <xf borderId="64" fillId="2" fontId="28" numFmtId="0" xfId="0" applyAlignment="1" applyBorder="1" applyFont="1">
      <alignment horizontal="left" vertical="center"/>
    </xf>
    <xf borderId="65" fillId="0" fontId="27" numFmtId="0" xfId="0" applyAlignment="1" applyBorder="1" applyFont="1">
      <alignment horizontal="left" shrinkToFit="0" vertical="center" wrapText="1"/>
    </xf>
    <xf borderId="41" fillId="0" fontId="9" numFmtId="10" xfId="0" applyAlignment="1" applyBorder="1" applyFont="1" applyNumberFormat="1">
      <alignment horizontal="center" readingOrder="0"/>
    </xf>
    <xf borderId="48" fillId="5" fontId="6" numFmtId="49" xfId="0" applyBorder="1" applyFont="1" applyNumberFormat="1"/>
    <xf borderId="48" fillId="5" fontId="9" numFmtId="0" xfId="0" applyBorder="1" applyFont="1"/>
    <xf borderId="48" fillId="2" fontId="9" numFmtId="49" xfId="0" applyBorder="1" applyFont="1" applyNumberFormat="1"/>
    <xf borderId="48" fillId="0" fontId="6" numFmtId="0" xfId="0" applyAlignment="1" applyBorder="1" applyFont="1">
      <alignment shrinkToFit="0" wrapText="1"/>
    </xf>
    <xf borderId="60" fillId="2" fontId="33" numFmtId="0" xfId="0" applyAlignment="1" applyBorder="1" applyFont="1">
      <alignment shrinkToFit="0" wrapText="1"/>
    </xf>
    <xf borderId="66" fillId="2" fontId="28" numFmtId="49" xfId="0" applyAlignment="1" applyBorder="1" applyFont="1" applyNumberFormat="1">
      <alignment horizontal="left" vertical="center"/>
    </xf>
    <xf borderId="36" fillId="0" fontId="27" numFmtId="0" xfId="0" applyAlignment="1" applyBorder="1" applyFont="1">
      <alignment horizontal="left" shrinkToFit="0" vertical="center" wrapText="1"/>
    </xf>
    <xf borderId="66" fillId="11" fontId="27" numFmtId="0" xfId="0" applyAlignment="1" applyBorder="1" applyFill="1" applyFont="1">
      <alignment horizontal="left" vertical="center"/>
    </xf>
    <xf borderId="67" fillId="11" fontId="28" numFmtId="0" xfId="0" applyAlignment="1" applyBorder="1" applyFont="1">
      <alignment horizontal="left" vertical="center"/>
    </xf>
    <xf borderId="61" fillId="5" fontId="27" numFmtId="0" xfId="0" applyAlignment="1" applyBorder="1" applyFont="1">
      <alignment horizontal="left" vertical="center"/>
    </xf>
    <xf borderId="61" fillId="5" fontId="28" numFmtId="0" xfId="0" applyAlignment="1" applyBorder="1" applyFont="1">
      <alignment horizontal="left" vertical="center"/>
    </xf>
    <xf borderId="61" fillId="6" fontId="28" numFmtId="0" xfId="0" applyAlignment="1" applyBorder="1" applyFont="1">
      <alignment horizontal="left" vertical="center"/>
    </xf>
    <xf borderId="61" fillId="2" fontId="28" numFmtId="0" xfId="0" applyAlignment="1" applyBorder="1" applyFont="1">
      <alignment horizontal="left" vertical="center"/>
    </xf>
    <xf borderId="48" fillId="2" fontId="6" numFmtId="0" xfId="0" applyAlignment="1" applyBorder="1" applyFont="1">
      <alignment shrinkToFit="0" vertical="center" wrapText="1"/>
    </xf>
    <xf borderId="61" fillId="5" fontId="9" numFmtId="0" xfId="0" applyAlignment="1" applyBorder="1" applyFont="1">
      <alignment vertical="center"/>
    </xf>
    <xf borderId="61" fillId="3" fontId="27" numFmtId="0" xfId="0" applyAlignment="1" applyBorder="1" applyFont="1">
      <alignment horizontal="left" vertical="center"/>
    </xf>
    <xf borderId="61" fillId="3" fontId="28" numFmtId="0" xfId="0" applyAlignment="1" applyBorder="1" applyFont="1">
      <alignment horizontal="left" vertical="center"/>
    </xf>
    <xf borderId="59" fillId="6" fontId="6" numFmtId="0" xfId="0" applyBorder="1" applyFont="1"/>
    <xf borderId="61" fillId="6" fontId="9" numFmtId="0" xfId="0" applyBorder="1" applyFont="1"/>
    <xf borderId="68" fillId="0" fontId="9" numFmtId="0" xfId="0" applyBorder="1" applyFont="1"/>
    <xf borderId="48" fillId="2" fontId="6" numFmtId="0" xfId="0" applyAlignment="1" applyBorder="1" applyFont="1">
      <alignment shrinkToFit="0" vertical="top" wrapText="1"/>
    </xf>
    <xf borderId="48" fillId="6" fontId="6" numFmtId="0" xfId="0" applyBorder="1" applyFont="1"/>
    <xf borderId="48" fillId="6" fontId="9" numFmtId="0" xfId="0" applyBorder="1" applyFont="1"/>
    <xf borderId="48" fillId="2" fontId="9" numFmtId="0" xfId="0" applyBorder="1" applyFont="1"/>
    <xf borderId="48" fillId="2" fontId="6" numFmtId="0" xfId="0" applyAlignment="1" applyBorder="1" applyFont="1">
      <alignment shrinkToFit="0" wrapText="1"/>
    </xf>
    <xf borderId="41" fillId="0" fontId="34" numFmtId="0" xfId="0" applyAlignment="1" applyBorder="1" applyFont="1">
      <alignment shrinkToFit="0" vertical="center" wrapText="1"/>
    </xf>
    <xf borderId="48" fillId="8" fontId="33" numFmtId="0" xfId="0" applyAlignment="1" applyBorder="1" applyFont="1">
      <alignment shrinkToFit="0" vertical="top" wrapText="1"/>
    </xf>
    <xf borderId="48" fillId="8" fontId="33" numFmtId="0" xfId="0" applyAlignment="1" applyBorder="1" applyFont="1">
      <alignment vertical="top"/>
    </xf>
    <xf borderId="48" fillId="8" fontId="33" numFmtId="0" xfId="0" applyAlignment="1" applyBorder="1" applyFont="1">
      <alignment shrinkToFit="0" wrapText="1"/>
    </xf>
    <xf borderId="1" fillId="2" fontId="9" numFmtId="0" xfId="0" applyBorder="1" applyFont="1"/>
    <xf borderId="48" fillId="12" fontId="6" numFmtId="0" xfId="0" applyBorder="1" applyFill="1" applyFont="1"/>
    <xf borderId="48" fillId="12" fontId="9" numFmtId="0" xfId="0" applyBorder="1" applyFont="1"/>
    <xf borderId="1" fillId="2" fontId="28" numFmtId="0" xfId="0" applyAlignment="1" applyBorder="1" applyFont="1">
      <alignment horizontal="left" vertical="center"/>
    </xf>
    <xf borderId="0" fillId="0" fontId="27" numFmtId="0" xfId="0" applyAlignment="1" applyFont="1">
      <alignment horizontal="left" shrinkToFit="0" vertical="center" wrapText="1"/>
    </xf>
    <xf borderId="48" fillId="13" fontId="27" numFmtId="0" xfId="0" applyAlignment="1" applyBorder="1" applyFill="1" applyFont="1">
      <alignment horizontal="left" vertical="center"/>
    </xf>
    <xf borderId="48" fillId="13" fontId="28" numFmtId="0" xfId="0" applyAlignment="1" applyBorder="1" applyFont="1">
      <alignment horizontal="left" vertical="center"/>
    </xf>
    <xf borderId="41" fillId="0" fontId="1" numFmtId="0" xfId="0" applyAlignment="1" applyBorder="1" applyFont="1">
      <alignment shrinkToFit="0" vertical="center" wrapText="1"/>
    </xf>
    <xf borderId="48" fillId="5" fontId="10" numFmtId="0" xfId="0" applyAlignment="1" applyBorder="1" applyFont="1">
      <alignment horizontal="center" vertical="center"/>
    </xf>
    <xf borderId="1" fillId="5" fontId="27" numFmtId="0" xfId="0" applyAlignment="1" applyBorder="1" applyFont="1">
      <alignment horizontal="left" shrinkToFit="0" vertical="center" wrapText="1"/>
    </xf>
    <xf borderId="48" fillId="2" fontId="27" numFmtId="0" xfId="0" applyAlignment="1" applyBorder="1" applyFont="1">
      <alignment shrinkToFit="0" vertical="center" wrapText="1"/>
    </xf>
    <xf borderId="48" fillId="0" fontId="1" numFmtId="0" xfId="0" applyAlignment="1" applyBorder="1" applyFont="1">
      <alignment horizontal="center" shrinkToFit="0" vertical="center" wrapText="1"/>
    </xf>
    <xf borderId="65" fillId="0" fontId="1" numFmtId="0" xfId="0" applyAlignment="1" applyBorder="1" applyFont="1">
      <alignment horizontal="center" shrinkToFit="0" vertical="center" wrapText="1"/>
    </xf>
    <xf borderId="65" fillId="0" fontId="6" numFmtId="9" xfId="0" applyAlignment="1" applyBorder="1" applyFont="1" applyNumberFormat="1">
      <alignment horizontal="center" shrinkToFit="0" vertical="center" wrapText="1"/>
    </xf>
    <xf borderId="69" fillId="0" fontId="9" numFmtId="9" xfId="0" applyAlignment="1" applyBorder="1" applyFont="1" applyNumberFormat="1">
      <alignment horizontal="center" shrinkToFit="0" vertical="center" wrapText="1"/>
    </xf>
    <xf borderId="41" fillId="0" fontId="9" numFmtId="9" xfId="0" applyAlignment="1" applyBorder="1" applyFont="1" applyNumberFormat="1">
      <alignment horizontal="center" readingOrder="0" shrinkToFit="0" vertical="center" wrapText="1"/>
    </xf>
    <xf borderId="45" fillId="0" fontId="9" numFmtId="9" xfId="0" applyAlignment="1" applyBorder="1" applyFont="1" applyNumberFormat="1">
      <alignment horizontal="center" shrinkToFit="0" vertical="center" wrapText="1"/>
    </xf>
    <xf borderId="48" fillId="0" fontId="9" numFmtId="1" xfId="0" applyAlignment="1" applyBorder="1" applyFont="1" applyNumberFormat="1">
      <alignment horizontal="center" shrinkToFit="0" vertical="center" wrapText="1"/>
    </xf>
    <xf borderId="42" fillId="0" fontId="9" numFmtId="9" xfId="0" applyAlignment="1" applyBorder="1" applyFont="1" applyNumberFormat="1">
      <alignment horizontal="center" shrinkToFit="0" vertical="center" wrapText="1"/>
    </xf>
    <xf borderId="41" fillId="0" fontId="9" numFmtId="0" xfId="0" applyAlignment="1" applyBorder="1" applyFont="1">
      <alignment horizontal="center" shrinkToFit="0" vertical="center" wrapText="1"/>
    </xf>
    <xf borderId="40" fillId="0" fontId="9" numFmtId="0" xfId="0" applyAlignment="1" applyBorder="1" applyFont="1">
      <alignment horizontal="center" shrinkToFit="0" vertical="center" wrapText="1"/>
    </xf>
    <xf borderId="45" fillId="0" fontId="9" numFmtId="0" xfId="0" applyAlignment="1" applyBorder="1" applyFont="1">
      <alignment horizontal="center" shrinkToFit="0" vertical="center" wrapText="1"/>
    </xf>
    <xf borderId="48" fillId="0" fontId="9" numFmtId="0" xfId="0" applyAlignment="1" applyBorder="1" applyFont="1">
      <alignment horizontal="center" shrinkToFit="0" vertical="center" wrapText="1"/>
    </xf>
    <xf borderId="47" fillId="0" fontId="9" numFmtId="0" xfId="0" applyAlignment="1" applyBorder="1" applyFont="1">
      <alignment horizontal="center" shrinkToFit="0" vertical="center" wrapText="1"/>
    </xf>
    <xf borderId="48" fillId="0" fontId="9" numFmtId="0" xfId="0" applyAlignment="1" applyBorder="1" applyFont="1">
      <alignment horizontal="center" readingOrder="0" shrinkToFit="0" vertical="center" wrapText="1"/>
    </xf>
    <xf borderId="41" fillId="0" fontId="9" numFmtId="1" xfId="0" applyAlignment="1" applyBorder="1" applyFont="1" applyNumberFormat="1">
      <alignment horizontal="center" shrinkToFit="0" vertical="center" wrapText="1"/>
    </xf>
    <xf borderId="41" fillId="0" fontId="9" numFmtId="0" xfId="0" applyAlignment="1" applyBorder="1" applyFont="1">
      <alignment horizontal="center"/>
    </xf>
    <xf borderId="40" fillId="0" fontId="9" numFmtId="0" xfId="0" applyAlignment="1" applyBorder="1" applyFont="1">
      <alignment horizontal="center"/>
    </xf>
    <xf borderId="48" fillId="14" fontId="27" numFmtId="0" xfId="0" applyAlignment="1" applyBorder="1" applyFill="1" applyFont="1">
      <alignment horizontal="left" vertical="center"/>
    </xf>
    <xf borderId="48" fillId="14" fontId="28" numFmtId="0" xfId="0" applyAlignment="1" applyBorder="1" applyFont="1">
      <alignment horizontal="left" vertical="center"/>
    </xf>
    <xf borderId="42" fillId="0" fontId="25" numFmtId="0" xfId="0" applyAlignment="1" applyBorder="1" applyFont="1">
      <alignment horizontal="center" vertical="center"/>
    </xf>
    <xf borderId="65" fillId="0" fontId="28" numFmtId="0" xfId="0" applyAlignment="1" applyBorder="1" applyFont="1">
      <alignment horizontal="left" vertical="center"/>
    </xf>
    <xf borderId="68" fillId="0" fontId="28" numFmtId="0" xfId="0" applyAlignment="1" applyBorder="1" applyFont="1">
      <alignment horizontal="left" vertical="center"/>
    </xf>
    <xf borderId="41" fillId="0" fontId="11" numFmtId="0" xfId="0" applyAlignment="1" applyBorder="1" applyFont="1">
      <alignment horizontal="center" shrinkToFit="0" vertical="center" wrapText="1"/>
    </xf>
    <xf borderId="41" fillId="0" fontId="9" numFmtId="9" xfId="0" applyAlignment="1" applyBorder="1" applyFont="1" applyNumberFormat="1">
      <alignment horizontal="center" readingOrder="0" vertical="center"/>
    </xf>
    <xf borderId="40" fillId="0" fontId="9" numFmtId="2" xfId="0" applyAlignment="1" applyBorder="1" applyFont="1" applyNumberFormat="1">
      <alignment horizontal="center" vertical="center"/>
    </xf>
    <xf borderId="41" fillId="0" fontId="9" numFmtId="0" xfId="0" applyAlignment="1" applyBorder="1" applyFont="1">
      <alignment horizontal="center" readingOrder="0" shrinkToFit="0" vertical="center" wrapText="1"/>
    </xf>
    <xf borderId="40" fillId="0" fontId="25" numFmtId="0" xfId="0" applyAlignment="1" applyBorder="1" applyFont="1">
      <alignment horizontal="center" shrinkToFit="0" vertical="center" wrapText="1"/>
    </xf>
    <xf borderId="59" fillId="2" fontId="27" numFmtId="0" xfId="0" applyAlignment="1" applyBorder="1" applyFont="1">
      <alignment horizontal="left" shrinkToFit="0" vertical="center" wrapText="1"/>
    </xf>
    <xf borderId="48" fillId="0" fontId="9" numFmtId="0" xfId="0" applyAlignment="1" applyBorder="1" applyFont="1">
      <alignment shrinkToFit="0" wrapText="1"/>
    </xf>
    <xf borderId="70" fillId="0" fontId="27" numFmtId="3" xfId="0" applyAlignment="1" applyBorder="1" applyFont="1" applyNumberFormat="1">
      <alignment horizontal="left" shrinkToFit="0" vertical="center" wrapText="1"/>
    </xf>
    <xf borderId="66" fillId="8" fontId="29" numFmtId="3" xfId="0" applyAlignment="1" applyBorder="1" applyFont="1" applyNumberFormat="1">
      <alignment horizontal="left" shrinkToFit="0" vertical="center" wrapText="1"/>
    </xf>
    <xf borderId="48" fillId="0" fontId="9" numFmtId="0" xfId="0" applyBorder="1" applyFont="1"/>
    <xf borderId="48" fillId="0" fontId="9" numFmtId="1" xfId="0" applyAlignment="1" applyBorder="1" applyFont="1" applyNumberFormat="1">
      <alignment horizontal="center"/>
    </xf>
    <xf borderId="48" fillId="0" fontId="9" numFmtId="0" xfId="0" applyAlignment="1" applyBorder="1" applyFont="1">
      <alignment horizontal="center"/>
    </xf>
    <xf borderId="48" fillId="0" fontId="9" numFmtId="10" xfId="0" applyAlignment="1" applyBorder="1" applyFont="1" applyNumberFormat="1">
      <alignment horizontal="center"/>
    </xf>
    <xf borderId="48" fillId="0" fontId="9" numFmtId="10" xfId="0" applyAlignment="1" applyBorder="1" applyFont="1" applyNumberFormat="1">
      <alignment horizontal="center" readingOrder="0"/>
    </xf>
    <xf borderId="48" fillId="0" fontId="9" numFmtId="1" xfId="0" applyAlignment="1" applyBorder="1" applyFont="1" applyNumberFormat="1">
      <alignment horizontal="center" readingOrder="0"/>
    </xf>
    <xf borderId="48" fillId="0" fontId="9" numFmtId="3" xfId="0" applyAlignment="1" applyBorder="1" applyFont="1" applyNumberFormat="1">
      <alignment horizontal="center"/>
    </xf>
    <xf borderId="0" fillId="0" fontId="25" numFmtId="0" xfId="0" applyAlignment="1" applyFont="1">
      <alignment horizontal="center"/>
    </xf>
    <xf borderId="0" fillId="0" fontId="25" numFmtId="0" xfId="0" applyFont="1"/>
    <xf borderId="44" fillId="0" fontId="9" numFmtId="0" xfId="0" applyAlignment="1" applyBorder="1" applyFont="1">
      <alignment horizontal="center" vertical="center"/>
    </xf>
    <xf borderId="13" fillId="0" fontId="8" numFmtId="0" xfId="0" applyAlignment="1" applyBorder="1" applyFont="1">
      <alignment horizontal="right" shrinkToFit="0" vertical="center" wrapText="1"/>
    </xf>
    <xf borderId="14" fillId="0" fontId="8" numFmtId="0" xfId="0" applyAlignment="1" applyBorder="1" applyFont="1">
      <alignment horizontal="left" vertical="center"/>
    </xf>
    <xf borderId="39" fillId="0" fontId="9" numFmtId="3" xfId="0" applyAlignment="1" applyBorder="1" applyFont="1" applyNumberFormat="1">
      <alignment horizontal="center" vertical="center"/>
    </xf>
    <xf quotePrefix="1" borderId="37" fillId="0" fontId="9" numFmtId="3" xfId="0" applyAlignment="1" applyBorder="1" applyFont="1" applyNumberFormat="1">
      <alignment horizontal="center" vertical="center"/>
    </xf>
    <xf quotePrefix="1" borderId="36" fillId="0" fontId="9" numFmtId="3" xfId="0" applyAlignment="1" applyBorder="1" applyFont="1" applyNumberFormat="1">
      <alignment horizontal="center" vertical="center"/>
    </xf>
    <xf quotePrefix="1" borderId="40" fillId="0" fontId="9" numFmtId="0" xfId="0" applyAlignment="1" applyBorder="1" applyFont="1">
      <alignment horizontal="center"/>
    </xf>
    <xf borderId="41" fillId="0" fontId="18" numFmtId="1" xfId="0" applyAlignment="1" applyBorder="1" applyFont="1" applyNumberFormat="1">
      <alignment horizontal="center" shrinkToFit="0" vertical="center" wrapText="1"/>
    </xf>
    <xf borderId="70" fillId="0" fontId="17" numFmtId="9" xfId="0" applyAlignment="1" applyBorder="1" applyFont="1" applyNumberFormat="1">
      <alignment horizontal="center" shrinkToFit="0" vertical="center" wrapText="1"/>
    </xf>
    <xf borderId="48" fillId="0" fontId="17" numFmtId="10" xfId="0" applyAlignment="1" applyBorder="1" applyFont="1" applyNumberFormat="1">
      <alignment horizontal="center" shrinkToFit="0" vertical="center" wrapText="1"/>
    </xf>
    <xf quotePrefix="1" borderId="44" fillId="0" fontId="9" numFmtId="0" xfId="0" applyAlignment="1" applyBorder="1" applyFont="1">
      <alignment horizontal="center" shrinkToFit="0" vertical="center" wrapText="1"/>
    </xf>
    <xf borderId="24" fillId="0" fontId="17" numFmtId="0" xfId="0" applyAlignment="1" applyBorder="1" applyFont="1">
      <alignment horizontal="center" shrinkToFit="0" vertical="center" wrapText="1"/>
    </xf>
    <xf borderId="41" fillId="0" fontId="9" numFmtId="167" xfId="0" applyAlignment="1" applyBorder="1" applyFont="1" applyNumberFormat="1">
      <alignment horizontal="center" vertical="center"/>
    </xf>
    <xf borderId="0" fillId="0" fontId="35" numFmtId="0" xfId="0" applyFont="1"/>
    <xf borderId="0" fillId="0" fontId="35" numFmtId="0" xfId="0" applyAlignment="1" applyFont="1">
      <alignment horizontal="left"/>
    </xf>
    <xf borderId="0" fillId="0" fontId="23" numFmtId="0" xfId="0" applyAlignment="1" applyFont="1">
      <alignment horizontal="left"/>
    </xf>
    <xf borderId="47" fillId="0" fontId="9" numFmtId="0" xfId="0" applyAlignment="1" applyBorder="1" applyFont="1">
      <alignment shrinkToFit="0" vertical="center" wrapText="1"/>
    </xf>
    <xf borderId="40" fillId="0" fontId="10" numFmtId="3" xfId="0" applyAlignment="1" applyBorder="1" applyFont="1" applyNumberFormat="1">
      <alignment horizontal="center"/>
    </xf>
    <xf borderId="44" fillId="0" fontId="9" numFmtId="3" xfId="0" applyAlignment="1" applyBorder="1" applyFont="1" applyNumberFormat="1">
      <alignment horizontal="center" vertical="center"/>
    </xf>
    <xf borderId="41" fillId="0" fontId="10" numFmtId="0" xfId="0" applyAlignment="1" applyBorder="1" applyFont="1">
      <alignment horizontal="center"/>
    </xf>
    <xf borderId="42" fillId="0" fontId="9" numFmtId="9" xfId="0" applyAlignment="1" applyBorder="1" applyFont="1" applyNumberFormat="1">
      <alignment horizontal="center"/>
    </xf>
    <xf borderId="41" fillId="0" fontId="10" numFmtId="9" xfId="0" applyAlignment="1" applyBorder="1" applyFont="1" applyNumberFormat="1">
      <alignment horizontal="center" vertical="center"/>
    </xf>
    <xf borderId="41" fillId="0" fontId="36" numFmtId="9" xfId="0" applyAlignment="1" applyBorder="1" applyFont="1" applyNumberFormat="1">
      <alignment horizontal="center" vertical="center"/>
    </xf>
    <xf borderId="41" fillId="0" fontId="9" numFmtId="20" xfId="0" applyAlignment="1" applyBorder="1" applyFont="1" applyNumberFormat="1">
      <alignment horizontal="center" vertical="center"/>
    </xf>
    <xf borderId="41" fillId="0" fontId="17" numFmtId="20" xfId="0" applyAlignment="1" applyBorder="1" applyFont="1" applyNumberFormat="1">
      <alignment horizontal="center" vertical="center"/>
    </xf>
    <xf borderId="41" fillId="0" fontId="17" numFmtId="20" xfId="0" applyAlignment="1" applyBorder="1" applyFont="1" applyNumberFormat="1">
      <alignment horizontal="center"/>
    </xf>
    <xf borderId="48" fillId="0" fontId="17" numFmtId="20" xfId="0" applyAlignment="1" applyBorder="1" applyFont="1" applyNumberFormat="1">
      <alignment horizontal="center" vertical="center"/>
    </xf>
    <xf borderId="48" fillId="0" fontId="17" numFmtId="20" xfId="0" applyAlignment="1" applyBorder="1" applyFont="1" applyNumberFormat="1">
      <alignment horizontal="center"/>
    </xf>
    <xf borderId="48" fillId="0" fontId="17" numFmtId="9" xfId="0" applyAlignment="1" applyBorder="1" applyFont="1" applyNumberFormat="1">
      <alignment horizontal="center" vertical="center"/>
    </xf>
    <xf borderId="48" fillId="0" fontId="17" numFmtId="10" xfId="0" applyAlignment="1" applyBorder="1" applyFont="1" applyNumberFormat="1">
      <alignment horizontal="center" vertical="center"/>
    </xf>
    <xf borderId="41" fillId="0" fontId="9" numFmtId="3" xfId="0" applyAlignment="1" applyBorder="1" applyFont="1" applyNumberFormat="1">
      <alignment horizontal="center" shrinkToFit="0" wrapText="1"/>
    </xf>
    <xf borderId="44" fillId="0" fontId="9" numFmtId="0" xfId="0" applyAlignment="1" applyBorder="1" applyFont="1">
      <alignment horizontal="center" shrinkToFit="0" wrapText="1"/>
    </xf>
    <xf borderId="41" fillId="0" fontId="9" numFmtId="10" xfId="0" applyAlignment="1" applyBorder="1" applyFont="1" applyNumberFormat="1">
      <alignment horizontal="center" shrinkToFit="0" wrapText="1"/>
    </xf>
    <xf borderId="40" fillId="0" fontId="9" numFmtId="10" xfId="0" applyAlignment="1" applyBorder="1" applyFont="1" applyNumberFormat="1">
      <alignment horizontal="center" shrinkToFit="0" wrapText="1"/>
    </xf>
    <xf borderId="0" fillId="0" fontId="21" numFmtId="0" xfId="0" applyFont="1"/>
    <xf borderId="0" fillId="0" fontId="37" numFmtId="0" xfId="0" applyFont="1"/>
    <xf borderId="0" fillId="0" fontId="37" numFmtId="0" xfId="0" applyAlignment="1" applyFont="1">
      <alignment horizontal="left"/>
    </xf>
    <xf borderId="0" fillId="0" fontId="21" numFmtId="0" xfId="0" applyAlignment="1" applyFont="1">
      <alignment horizontal="left"/>
    </xf>
    <xf borderId="71" fillId="2" fontId="6" numFmtId="0" xfId="0" applyAlignment="1" applyBorder="1" applyFont="1">
      <alignment horizontal="center"/>
    </xf>
    <xf borderId="72" fillId="0" fontId="3" numFmtId="0" xfId="0" applyBorder="1" applyFont="1"/>
    <xf borderId="46" fillId="0" fontId="9" numFmtId="0" xfId="0" applyAlignment="1" applyBorder="1" applyFont="1">
      <alignment horizontal="center"/>
    </xf>
    <xf borderId="45" fillId="0" fontId="9" numFmtId="164" xfId="0" applyAlignment="1" applyBorder="1" applyFont="1" applyNumberFormat="1">
      <alignment horizontal="center"/>
    </xf>
    <xf borderId="13" fillId="0" fontId="7" numFmtId="0" xfId="0" applyAlignment="1" applyBorder="1" applyFont="1">
      <alignment horizontal="center"/>
    </xf>
    <xf borderId="0" fillId="0" fontId="11" numFmtId="0" xfId="0" applyFont="1"/>
    <xf quotePrefix="1" borderId="13" fillId="0" fontId="8" numFmtId="0" xfId="0" applyBorder="1" applyFont="1"/>
    <xf borderId="13" fillId="0" fontId="8" numFmtId="0" xfId="0" applyAlignment="1" applyBorder="1" applyFont="1">
      <alignment horizontal="left"/>
    </xf>
    <xf borderId="40" fillId="0" fontId="8" numFmtId="3" xfId="0" applyBorder="1" applyFont="1" applyNumberFormat="1"/>
    <xf borderId="41" fillId="0" fontId="8" numFmtId="3" xfId="0" applyBorder="1" applyFont="1" applyNumberFormat="1"/>
    <xf borderId="40" fillId="0" fontId="10" numFmtId="0" xfId="0" applyAlignment="1" applyBorder="1" applyFont="1">
      <alignment horizontal="center"/>
    </xf>
    <xf quotePrefix="1" borderId="0" fillId="0" fontId="38" numFmtId="0" xfId="0" applyAlignment="1" applyFont="1">
      <alignment horizontal="left" vertical="center"/>
    </xf>
    <xf quotePrefix="1" borderId="0" fillId="0" fontId="7" numFmtId="0" xfId="0" applyAlignment="1" applyFont="1">
      <alignment horizontal="left"/>
    </xf>
    <xf borderId="13" fillId="0" fontId="39" numFmtId="0" xfId="0" applyBorder="1" applyFont="1"/>
    <xf borderId="13" fillId="0" fontId="40" numFmtId="0" xfId="0" applyAlignment="1" applyBorder="1" applyFont="1">
      <alignment shrinkToFit="0" vertical="center" wrapText="1"/>
    </xf>
    <xf quotePrefix="1" borderId="0" fillId="0" fontId="7" numFmtId="0" xfId="0" applyAlignment="1" applyFont="1">
      <alignment horizontal="left" vertical="center"/>
    </xf>
    <xf borderId="0" fillId="0" fontId="7" numFmtId="3" xfId="0" applyAlignment="1" applyFont="1" applyNumberFormat="1">
      <alignment vertical="center"/>
    </xf>
    <xf borderId="1" fillId="15" fontId="7" numFmtId="3" xfId="0" applyAlignment="1" applyBorder="1" applyFill="1" applyFont="1" applyNumberFormat="1">
      <alignment vertical="center"/>
    </xf>
    <xf borderId="1" fillId="15" fontId="9" numFmtId="3" xfId="0" applyAlignment="1" applyBorder="1" applyFont="1" applyNumberFormat="1">
      <alignment horizontal="left" vertical="center"/>
    </xf>
    <xf borderId="0" fillId="0" fontId="9" numFmtId="3" xfId="0" applyFont="1" applyNumberFormat="1"/>
    <xf borderId="0" fillId="0" fontId="11" numFmtId="3" xfId="0" applyAlignment="1" applyFont="1" applyNumberFormat="1">
      <alignment vertical="center"/>
    </xf>
    <xf quotePrefix="1" borderId="1" fillId="7" fontId="9" numFmtId="3" xfId="0" applyAlignment="1" applyBorder="1" applyFont="1" applyNumberFormat="1">
      <alignment horizontal="left" vertical="center"/>
    </xf>
    <xf borderId="1" fillId="7" fontId="9" numFmtId="3" xfId="0" applyAlignment="1" applyBorder="1" applyFont="1" applyNumberFormat="1">
      <alignment horizontal="left" vertical="center"/>
    </xf>
    <xf borderId="0" fillId="0" fontId="8" numFmtId="3" xfId="0" applyAlignment="1" applyFont="1" applyNumberFormat="1">
      <alignment horizontal="left" vertical="center"/>
    </xf>
    <xf borderId="40" fillId="0" fontId="9" numFmtId="10" xfId="0" applyBorder="1" applyFont="1" applyNumberFormat="1"/>
    <xf borderId="0" fillId="0" fontId="9" numFmtId="3" xfId="0" applyAlignment="1" applyFont="1" applyNumberFormat="1">
      <alignment horizontal="left" vertical="center"/>
    </xf>
    <xf borderId="0" fillId="0" fontId="26" numFmtId="3" xfId="0" applyAlignment="1" applyFont="1" applyNumberFormat="1">
      <alignment vertical="center"/>
    </xf>
    <xf quotePrefix="1" borderId="1" fillId="7" fontId="26" numFmtId="3" xfId="0" applyAlignment="1" applyBorder="1" applyFont="1" applyNumberFormat="1">
      <alignment horizontal="left" vertical="center"/>
    </xf>
    <xf borderId="1" fillId="7" fontId="26" numFmtId="3" xfId="0" applyAlignment="1" applyBorder="1" applyFont="1" applyNumberFormat="1">
      <alignment horizontal="left" vertical="center"/>
    </xf>
    <xf borderId="0" fillId="0" fontId="9" numFmtId="3" xfId="0" applyAlignment="1" applyFont="1" applyNumberFormat="1">
      <alignment vertical="center"/>
    </xf>
    <xf borderId="1" fillId="7" fontId="7" numFmtId="3" xfId="0" applyAlignment="1" applyBorder="1" applyFont="1" applyNumberFormat="1">
      <alignment vertical="center"/>
    </xf>
    <xf borderId="1" fillId="7" fontId="9" numFmtId="3" xfId="0" applyAlignment="1" applyBorder="1" applyFont="1" applyNumberFormat="1">
      <alignment vertical="center"/>
    </xf>
    <xf borderId="1" fillId="7" fontId="11" numFmtId="3" xfId="0" applyAlignment="1" applyBorder="1" applyFont="1" applyNumberFormat="1">
      <alignment vertical="center"/>
    </xf>
    <xf quotePrefix="1" borderId="1" fillId="7" fontId="8" numFmtId="3" xfId="0" applyAlignment="1" applyBorder="1" applyFont="1" applyNumberFormat="1">
      <alignment horizontal="left" vertical="center"/>
    </xf>
    <xf quotePrefix="1" borderId="0" fillId="0" fontId="9" numFmtId="3" xfId="0" applyAlignment="1" applyFont="1" applyNumberFormat="1">
      <alignment horizontal="left" vertical="center"/>
    </xf>
    <xf borderId="0" fillId="0" fontId="7" numFmtId="3" xfId="0" applyAlignment="1" applyFont="1" applyNumberFormat="1">
      <alignment horizontal="left" vertical="center"/>
    </xf>
    <xf borderId="0" fillId="0" fontId="10" numFmtId="0" xfId="0" applyFont="1"/>
    <xf borderId="14" fillId="0" fontId="10" numFmtId="0" xfId="0" applyBorder="1" applyFont="1"/>
    <xf borderId="40" fillId="0" fontId="10" numFmtId="0" xfId="0" applyBorder="1" applyFont="1"/>
    <xf borderId="1" fillId="7" fontId="11" numFmtId="3" xfId="0" applyAlignment="1" applyBorder="1" applyFont="1" applyNumberFormat="1">
      <alignment horizontal="left" vertical="center"/>
    </xf>
    <xf borderId="1" fillId="7" fontId="8" numFmtId="3" xfId="0" applyAlignment="1" applyBorder="1" applyFont="1" applyNumberFormat="1">
      <alignment horizontal="left" vertical="center"/>
    </xf>
    <xf borderId="45" fillId="0" fontId="13" numFmtId="0" xfId="0" applyAlignment="1" applyBorder="1" applyFont="1">
      <alignment horizontal="center"/>
    </xf>
    <xf borderId="1" fillId="7" fontId="9" numFmtId="10" xfId="0" applyAlignment="1" applyBorder="1" applyFont="1" applyNumberFormat="1">
      <alignment vertical="center"/>
    </xf>
    <xf quotePrefix="1" borderId="1" fillId="7" fontId="9" numFmtId="10" xfId="0" applyAlignment="1" applyBorder="1" applyFont="1" applyNumberFormat="1">
      <alignment horizontal="left" vertical="center"/>
    </xf>
    <xf borderId="48" fillId="7" fontId="41" numFmtId="10" xfId="0" applyAlignment="1" applyBorder="1" applyFont="1" applyNumberFormat="1">
      <alignment horizontal="center" vertical="center"/>
    </xf>
    <xf borderId="1" fillId="16" fontId="15" numFmtId="0" xfId="0" applyBorder="1" applyFill="1" applyFont="1"/>
    <xf borderId="1" fillId="16" fontId="8" numFmtId="0" xfId="0" applyBorder="1" applyFont="1"/>
    <xf borderId="47" fillId="0" fontId="9" numFmtId="10" xfId="0" applyAlignment="1" applyBorder="1" applyFont="1" applyNumberFormat="1">
      <alignment horizontal="center"/>
    </xf>
    <xf quotePrefix="1" borderId="0" fillId="0" fontId="17" numFmtId="0" xfId="0" applyAlignment="1" applyFont="1">
      <alignment horizontal="left"/>
    </xf>
    <xf borderId="0" fillId="0" fontId="17" numFmtId="0" xfId="0" applyAlignment="1" applyFont="1">
      <alignment horizontal="left"/>
    </xf>
    <xf borderId="0" fillId="0" fontId="17" numFmtId="0" xfId="0" applyFont="1"/>
    <xf borderId="73" fillId="0" fontId="17" numFmtId="3" xfId="0" applyAlignment="1" applyBorder="1" applyFont="1" applyNumberFormat="1">
      <alignment horizontal="center"/>
    </xf>
    <xf quotePrefix="1" borderId="0" fillId="0" fontId="17" numFmtId="0" xfId="0" applyFont="1"/>
    <xf quotePrefix="1" borderId="0" fillId="0" fontId="17" numFmtId="0" xfId="0" applyAlignment="1" applyFont="1">
      <alignment vertical="center"/>
    </xf>
    <xf borderId="0" fillId="0" fontId="17" numFmtId="0" xfId="0" applyAlignment="1" applyFont="1">
      <alignment vertical="center"/>
    </xf>
    <xf quotePrefix="1" borderId="17" fillId="0" fontId="17" numFmtId="0" xfId="0" applyBorder="1" applyFont="1"/>
    <xf borderId="74" fillId="0" fontId="9" numFmtId="0" xfId="0" applyAlignment="1" applyBorder="1" applyFont="1">
      <alignment horizontal="center"/>
    </xf>
    <xf borderId="54" fillId="0" fontId="3" numFmtId="0" xfId="0" applyBorder="1" applyFont="1"/>
    <xf borderId="0" fillId="0" fontId="10" numFmtId="0" xfId="0" applyAlignment="1" applyFont="1">
      <alignment horizontal="left"/>
    </xf>
    <xf borderId="0" fillId="0" fontId="9" numFmtId="0" xfId="0" applyAlignment="1" applyFont="1">
      <alignment horizontal="left"/>
    </xf>
    <xf borderId="41" fillId="0" fontId="7" numFmtId="3" xfId="0" applyBorder="1" applyFont="1" applyNumberFormat="1"/>
    <xf borderId="40" fillId="0" fontId="7" numFmtId="3" xfId="0" applyBorder="1" applyFont="1" applyNumberFormat="1"/>
    <xf borderId="40" fillId="0" fontId="9" numFmtId="3" xfId="0" applyBorder="1" applyFont="1" applyNumberFormat="1"/>
    <xf borderId="41" fillId="0" fontId="10" numFmtId="0" xfId="0" applyBorder="1" applyFont="1"/>
    <xf borderId="53" fillId="0" fontId="9" numFmtId="0" xfId="0" applyBorder="1" applyFont="1"/>
    <xf borderId="40" fillId="0" fontId="9" numFmtId="9" xfId="0" applyBorder="1" applyFont="1" applyNumberFormat="1"/>
    <xf borderId="75" fillId="0" fontId="9" numFmtId="10" xfId="0" applyBorder="1" applyFont="1" applyNumberFormat="1"/>
    <xf borderId="76" fillId="0" fontId="9" numFmtId="10" xfId="0" applyBorder="1" applyFont="1" applyNumberFormat="1"/>
    <xf borderId="76" fillId="0" fontId="9" numFmtId="9" xfId="0" applyBorder="1" applyFont="1" applyNumberFormat="1"/>
    <xf borderId="77" fillId="0" fontId="9" numFmtId="9" xfId="0" applyBorder="1" applyFont="1" applyNumberFormat="1"/>
    <xf borderId="9" fillId="2" fontId="6" numFmtId="0" xfId="0" applyAlignment="1" applyBorder="1" applyFont="1">
      <alignment horizontal="center" shrinkToFit="0" vertical="center" wrapText="1"/>
    </xf>
    <xf borderId="78" fillId="0" fontId="3" numFmtId="0" xfId="0" applyBorder="1" applyFont="1"/>
    <xf borderId="79" fillId="0" fontId="3" numFmtId="0" xfId="0" applyBorder="1" applyFont="1"/>
    <xf borderId="80" fillId="0" fontId="3" numFmtId="0" xfId="0" applyBorder="1" applyFont="1"/>
    <xf borderId="81" fillId="2" fontId="6" numFmtId="0" xfId="0" applyAlignment="1" applyBorder="1" applyFont="1">
      <alignment horizontal="center" vertical="center"/>
    </xf>
    <xf borderId="38" fillId="0" fontId="9" numFmtId="0" xfId="0" applyAlignment="1" applyBorder="1" applyFont="1">
      <alignment shrinkToFit="0" vertical="center" wrapText="1"/>
    </xf>
    <xf borderId="53" fillId="0" fontId="9" numFmtId="0" xfId="0" applyAlignment="1" applyBorder="1" applyFont="1">
      <alignment shrinkToFit="0" vertical="center" wrapText="1"/>
    </xf>
    <xf borderId="0" fillId="0" fontId="38" numFmtId="0" xfId="0" applyAlignment="1" applyFont="1">
      <alignment horizontal="left" vertical="center"/>
    </xf>
    <xf quotePrefix="1" borderId="0" fillId="0" fontId="8" numFmtId="0" xfId="0" applyAlignment="1" applyFont="1">
      <alignment horizontal="center"/>
    </xf>
    <xf borderId="13" fillId="0" fontId="40" numFmtId="0" xfId="0" applyBorder="1" applyFont="1"/>
    <xf borderId="0" fillId="0" fontId="40" numFmtId="0" xfId="0" applyFont="1"/>
    <xf borderId="13" fillId="0" fontId="18" numFmtId="0" xfId="0" applyBorder="1" applyFont="1"/>
    <xf borderId="0" fillId="0" fontId="18" numFmtId="0" xfId="0" applyFont="1"/>
    <xf borderId="13" fillId="0" fontId="18" numFmtId="0" xfId="0" applyAlignment="1" applyBorder="1" applyFont="1">
      <alignment horizontal="left"/>
    </xf>
    <xf borderId="0" fillId="0" fontId="18" numFmtId="0" xfId="0" applyAlignment="1" applyFont="1">
      <alignment horizontal="left"/>
    </xf>
    <xf quotePrefix="1" borderId="0" fillId="0" fontId="9" numFmtId="3" xfId="0" applyFont="1" applyNumberFormat="1"/>
    <xf borderId="1" fillId="7" fontId="9" numFmtId="10" xfId="0" applyAlignment="1" applyBorder="1" applyFont="1" applyNumberFormat="1">
      <alignment horizontal="left" vertical="center"/>
    </xf>
    <xf borderId="44" fillId="0" fontId="9" numFmtId="10" xfId="0" applyBorder="1" applyFont="1" applyNumberFormat="1"/>
    <xf borderId="44" fillId="0" fontId="9" numFmtId="9" xfId="0" applyBorder="1" applyFont="1" applyNumberFormat="1"/>
    <xf quotePrefix="1" borderId="0" fillId="0" fontId="18" numFmtId="0" xfId="0" applyFont="1"/>
    <xf borderId="0" fillId="0" fontId="17" numFmtId="0" xfId="0" applyAlignment="1" applyFont="1">
      <alignment horizontal="left" vertical="center"/>
    </xf>
    <xf borderId="82" fillId="0" fontId="9" numFmtId="0" xfId="0" applyAlignment="1" applyBorder="1" applyFont="1">
      <alignment horizontal="center"/>
    </xf>
    <xf borderId="50" fillId="0" fontId="3" numFmtId="0" xfId="0" applyBorder="1" applyFont="1"/>
    <xf borderId="45" fillId="0" fontId="9" numFmtId="0" xfId="0" applyBorder="1" applyFont="1"/>
    <xf borderId="13" fillId="0" fontId="40" numFmtId="0" xfId="0" applyAlignment="1" applyBorder="1" applyFont="1">
      <alignment horizontal="left"/>
    </xf>
    <xf borderId="0" fillId="0" fontId="18" numFmtId="0" xfId="0" applyAlignment="1" applyFont="1">
      <alignment horizontal="center"/>
    </xf>
    <xf borderId="0" fillId="0" fontId="40" numFmtId="0" xfId="0" applyAlignment="1" applyFont="1">
      <alignment horizontal="left"/>
    </xf>
    <xf borderId="74" fillId="0" fontId="9" numFmtId="0" xfId="0" applyBorder="1" applyFont="1"/>
  </cellXfs>
  <cellStyles count="1">
    <cellStyle xfId="0" name="Normal" builtinId="0"/>
  </cellStyles>
  <dxfs count="1">
    <dxf>
      <font>
        <color rgb="FF9C0006"/>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5.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6.xml"/><Relationship Id="rId3"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7.xml"/><Relationship Id="rId3"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8.xml"/><Relationship Id="rId3"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9.xml"/><Relationship Id="rId3"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xSplit="11.0" ySplit="15.0" topLeftCell="L16" activePane="bottomRight" state="frozen"/>
      <selection activeCell="L1" sqref="L1" pane="topRight"/>
      <selection activeCell="A16" sqref="A16" pane="bottomLeft"/>
      <selection activeCell="L16" sqref="L16" pane="bottomRight"/>
    </sheetView>
  </sheetViews>
  <sheetFormatPr customHeight="1" defaultColWidth="14.43" defaultRowHeight="15.0"/>
  <cols>
    <col customWidth="1" hidden="1" min="1" max="1" width="9.14"/>
    <col customWidth="1" min="2" max="2" width="12.0"/>
    <col customWidth="1" min="3" max="11" width="9.14"/>
    <col customWidth="1" min="12" max="12" width="15.14"/>
    <col customWidth="1" min="13" max="13" width="9.14"/>
    <col customWidth="1" min="14" max="14" width="14.71"/>
    <col customWidth="1" min="15" max="15" width="14.29"/>
    <col customWidth="1" min="16" max="16" width="15.0"/>
    <col customWidth="1" min="17" max="17" width="14.71"/>
    <col customWidth="1" min="18" max="18" width="18.86"/>
    <col customWidth="1" min="19" max="19" width="15.14"/>
    <col customWidth="1" min="20" max="20" width="15.43"/>
    <col customWidth="1" min="21" max="21" width="16.29"/>
    <col customWidth="1" min="22" max="22" width="14.43"/>
    <col customWidth="1" min="23" max="23" width="20.57"/>
    <col customWidth="1" min="24" max="24" width="16.71"/>
    <col customWidth="1" min="25" max="25" width="42.57"/>
    <col customWidth="1" min="26" max="31" width="9.14"/>
  </cols>
  <sheetData>
    <row r="1" ht="14.25" customHeight="1">
      <c r="A1" s="1"/>
      <c r="B1" s="1"/>
      <c r="C1" s="1"/>
      <c r="D1" s="1"/>
      <c r="E1" s="1"/>
      <c r="F1" s="1"/>
      <c r="G1" s="1"/>
      <c r="H1" s="1"/>
      <c r="I1" s="1"/>
      <c r="J1" s="1"/>
      <c r="K1" s="1"/>
      <c r="L1" s="1"/>
      <c r="M1" s="1"/>
      <c r="N1" s="1"/>
      <c r="O1" s="1"/>
      <c r="P1" s="1"/>
      <c r="Q1" s="1"/>
      <c r="R1" s="1"/>
      <c r="S1" s="1"/>
      <c r="T1" s="1"/>
      <c r="U1" s="1"/>
      <c r="V1" s="1"/>
      <c r="W1" s="1"/>
      <c r="X1" s="2" t="s">
        <v>0</v>
      </c>
      <c r="Y1" s="3"/>
    </row>
    <row r="2" ht="14.25" customHeight="1">
      <c r="A2" s="4" t="s">
        <v>1</v>
      </c>
      <c r="B2" s="5"/>
      <c r="C2" s="5"/>
      <c r="D2" s="5"/>
      <c r="E2" s="5"/>
      <c r="F2" s="5"/>
      <c r="G2" s="5"/>
      <c r="H2" s="5"/>
      <c r="I2" s="5"/>
      <c r="J2" s="5"/>
      <c r="K2" s="5"/>
      <c r="L2" s="5"/>
      <c r="M2" s="5"/>
      <c r="N2" s="5"/>
      <c r="O2" s="5"/>
      <c r="P2" s="5"/>
      <c r="Q2" s="5"/>
      <c r="R2" s="5"/>
      <c r="S2" s="5"/>
      <c r="T2" s="5"/>
      <c r="U2" s="5"/>
      <c r="V2" s="5"/>
      <c r="W2" s="5"/>
      <c r="X2" s="5"/>
      <c r="Y2" s="3"/>
    </row>
    <row r="3" ht="14.25" customHeight="1">
      <c r="A3" s="6" t="s">
        <v>2</v>
      </c>
      <c r="B3" s="5"/>
      <c r="C3" s="5"/>
      <c r="D3" s="5"/>
      <c r="E3" s="5"/>
      <c r="F3" s="5"/>
      <c r="G3" s="5"/>
      <c r="H3" s="5"/>
      <c r="I3" s="5"/>
      <c r="J3" s="5"/>
      <c r="K3" s="5"/>
      <c r="L3" s="5"/>
      <c r="M3" s="5"/>
      <c r="N3" s="5"/>
      <c r="O3" s="5"/>
      <c r="P3" s="5"/>
      <c r="Q3" s="5"/>
      <c r="R3" s="5"/>
      <c r="S3" s="5"/>
      <c r="T3" s="5"/>
      <c r="U3" s="5"/>
      <c r="V3" s="5"/>
      <c r="W3" s="5"/>
      <c r="X3" s="5"/>
      <c r="Y3" s="3"/>
    </row>
    <row r="4" ht="14.25" customHeight="1">
      <c r="A4" s="7"/>
      <c r="B4" s="7"/>
      <c r="C4" s="7"/>
      <c r="D4" s="7"/>
      <c r="E4" s="7"/>
      <c r="F4" s="7"/>
      <c r="G4" s="7"/>
      <c r="H4" s="7"/>
      <c r="I4" s="7"/>
      <c r="J4" s="7"/>
      <c r="K4" s="7"/>
      <c r="L4" s="7"/>
      <c r="M4" s="7"/>
      <c r="N4" s="7"/>
      <c r="O4" s="7"/>
      <c r="P4" s="7"/>
      <c r="Q4" s="7"/>
      <c r="R4" s="7"/>
      <c r="S4" s="7"/>
      <c r="T4" s="7"/>
      <c r="U4" s="7"/>
      <c r="V4" s="7"/>
      <c r="W4" s="7"/>
      <c r="X4" s="7"/>
      <c r="Y4" s="8"/>
    </row>
    <row r="5" ht="14.25" customHeight="1">
      <c r="A5" s="1"/>
      <c r="B5" s="9" t="s">
        <v>3</v>
      </c>
      <c r="C5" s="9"/>
      <c r="D5" s="9"/>
      <c r="E5" s="10"/>
      <c r="F5" s="10"/>
      <c r="G5" s="10"/>
      <c r="H5" s="11" t="s">
        <v>4</v>
      </c>
      <c r="I5" s="12" t="s">
        <v>5</v>
      </c>
      <c r="J5" s="5"/>
      <c r="K5" s="5"/>
      <c r="L5" s="5"/>
      <c r="M5" s="3"/>
      <c r="N5" s="13"/>
      <c r="O5" s="13"/>
      <c r="P5" s="13"/>
      <c r="Q5" s="13"/>
      <c r="R5" s="13"/>
      <c r="S5" s="13"/>
      <c r="T5" s="13"/>
      <c r="U5" s="14"/>
      <c r="V5" s="14"/>
      <c r="W5" s="15"/>
      <c r="X5" s="16" t="s">
        <v>6</v>
      </c>
      <c r="Y5" s="17"/>
    </row>
    <row r="6" ht="14.25" customHeight="1">
      <c r="A6" s="1"/>
      <c r="B6" s="9" t="s">
        <v>7</v>
      </c>
      <c r="C6" s="9"/>
      <c r="D6" s="9"/>
      <c r="E6" s="10"/>
      <c r="F6" s="10"/>
      <c r="G6" s="10"/>
      <c r="H6" s="11" t="s">
        <v>4</v>
      </c>
      <c r="I6" s="12"/>
      <c r="J6" s="5"/>
      <c r="K6" s="5"/>
      <c r="L6" s="5"/>
      <c r="M6" s="3"/>
      <c r="N6" s="13"/>
      <c r="O6" s="13"/>
      <c r="P6" s="13"/>
      <c r="Q6" s="13"/>
      <c r="R6" s="13"/>
      <c r="S6" s="13"/>
      <c r="T6" s="13"/>
      <c r="U6" s="14"/>
      <c r="V6" s="14"/>
      <c r="W6" s="18"/>
      <c r="X6" s="16" t="s">
        <v>8</v>
      </c>
      <c r="Y6" s="17"/>
    </row>
    <row r="7" ht="14.25" customHeight="1">
      <c r="A7" s="1"/>
      <c r="B7" s="9" t="s">
        <v>9</v>
      </c>
      <c r="C7" s="9"/>
      <c r="D7" s="9"/>
      <c r="E7" s="10"/>
      <c r="F7" s="10"/>
      <c r="G7" s="10"/>
      <c r="H7" s="11" t="s">
        <v>4</v>
      </c>
      <c r="I7" s="12"/>
      <c r="J7" s="5"/>
      <c r="K7" s="5"/>
      <c r="L7" s="5"/>
      <c r="M7" s="3"/>
      <c r="N7" s="13"/>
      <c r="O7" s="13"/>
      <c r="P7" s="13"/>
      <c r="Q7" s="13"/>
      <c r="R7" s="13"/>
      <c r="S7" s="14"/>
      <c r="T7" s="14"/>
      <c r="U7" s="14"/>
      <c r="V7" s="1"/>
      <c r="W7" s="18"/>
      <c r="X7" s="16" t="s">
        <v>10</v>
      </c>
      <c r="Y7" s="17"/>
    </row>
    <row r="8" ht="14.25" customHeight="1">
      <c r="A8" s="1"/>
      <c r="B8" s="9" t="s">
        <v>11</v>
      </c>
      <c r="C8" s="9"/>
      <c r="D8" s="9"/>
      <c r="E8" s="10"/>
      <c r="F8" s="10"/>
      <c r="G8" s="10"/>
      <c r="H8" s="11" t="s">
        <v>4</v>
      </c>
      <c r="I8" s="12"/>
      <c r="J8" s="5"/>
      <c r="K8" s="5"/>
      <c r="L8" s="5"/>
      <c r="M8" s="3"/>
      <c r="N8" s="13"/>
      <c r="O8" s="13"/>
      <c r="P8" s="13"/>
      <c r="Q8" s="13"/>
      <c r="R8" s="13"/>
      <c r="S8" s="14"/>
      <c r="T8" s="14"/>
      <c r="U8" s="14"/>
      <c r="V8" s="1"/>
      <c r="W8" s="18"/>
      <c r="X8" s="16" t="s">
        <v>12</v>
      </c>
      <c r="Y8" s="17"/>
    </row>
    <row r="9" ht="14.25" customHeight="1">
      <c r="A9" s="1"/>
      <c r="B9" s="19"/>
      <c r="C9" s="5"/>
      <c r="D9" s="5"/>
      <c r="E9" s="3"/>
      <c r="F9" s="17"/>
      <c r="G9" s="17"/>
      <c r="H9" s="17"/>
      <c r="I9" s="17"/>
      <c r="J9" s="17"/>
      <c r="K9" s="1"/>
      <c r="L9" s="1"/>
      <c r="M9" s="1"/>
      <c r="N9" s="1"/>
      <c r="O9" s="1"/>
      <c r="P9" s="1"/>
      <c r="Q9" s="1"/>
      <c r="R9" s="1"/>
      <c r="S9" s="1"/>
      <c r="T9" s="1"/>
      <c r="U9" s="14"/>
      <c r="V9" s="1"/>
      <c r="W9" s="14"/>
      <c r="X9" s="1"/>
      <c r="Y9" s="1"/>
    </row>
    <row r="10" ht="15.75" customHeight="1">
      <c r="A10" s="1"/>
      <c r="B10" s="20" t="s">
        <v>13</v>
      </c>
      <c r="C10" s="21"/>
      <c r="D10" s="21"/>
      <c r="E10" s="21"/>
      <c r="F10" s="21"/>
      <c r="G10" s="21"/>
      <c r="H10" s="21"/>
      <c r="I10" s="21"/>
      <c r="J10" s="21"/>
      <c r="K10" s="21"/>
      <c r="L10" s="22"/>
      <c r="M10" s="23" t="s">
        <v>14</v>
      </c>
      <c r="N10" s="20" t="s">
        <v>15</v>
      </c>
      <c r="O10" s="21"/>
      <c r="P10" s="21"/>
      <c r="Q10" s="21"/>
      <c r="R10" s="22"/>
      <c r="S10" s="24" t="s">
        <v>16</v>
      </c>
      <c r="T10" s="21"/>
      <c r="U10" s="21"/>
      <c r="V10" s="21"/>
      <c r="W10" s="25"/>
      <c r="X10" s="26" t="s">
        <v>17</v>
      </c>
      <c r="Y10" s="27" t="s">
        <v>18</v>
      </c>
    </row>
    <row r="11" ht="14.25" customHeight="1">
      <c r="A11" s="1"/>
      <c r="B11" s="28"/>
      <c r="L11" s="29"/>
      <c r="M11" s="30"/>
      <c r="N11" s="31"/>
      <c r="O11" s="32"/>
      <c r="P11" s="32"/>
      <c r="Q11" s="32"/>
      <c r="R11" s="33"/>
      <c r="S11" s="34"/>
      <c r="T11" s="35"/>
      <c r="U11" s="35"/>
      <c r="V11" s="35"/>
      <c r="W11" s="36"/>
      <c r="X11" s="37"/>
      <c r="Y11" s="38"/>
    </row>
    <row r="12" ht="15.75" customHeight="1">
      <c r="A12" s="1"/>
      <c r="B12" s="28"/>
      <c r="L12" s="29"/>
      <c r="M12" s="30"/>
      <c r="N12" s="39" t="s">
        <v>19</v>
      </c>
      <c r="O12" s="23" t="s">
        <v>20</v>
      </c>
      <c r="P12" s="39" t="s">
        <v>21</v>
      </c>
      <c r="Q12" s="23" t="s">
        <v>22</v>
      </c>
      <c r="R12" s="39" t="s">
        <v>23</v>
      </c>
      <c r="S12" s="23" t="s">
        <v>19</v>
      </c>
      <c r="T12" s="39" t="s">
        <v>20</v>
      </c>
      <c r="U12" s="23" t="s">
        <v>21</v>
      </c>
      <c r="V12" s="39" t="s">
        <v>22</v>
      </c>
      <c r="W12" s="23" t="s">
        <v>23</v>
      </c>
      <c r="X12" s="37"/>
      <c r="Y12" s="38"/>
    </row>
    <row r="13" ht="14.25" customHeight="1">
      <c r="A13" s="1"/>
      <c r="B13" s="28"/>
      <c r="L13" s="29"/>
      <c r="M13" s="30"/>
      <c r="N13" s="40"/>
      <c r="O13" s="30"/>
      <c r="P13" s="40"/>
      <c r="Q13" s="30"/>
      <c r="R13" s="40"/>
      <c r="S13" s="30"/>
      <c r="T13" s="40"/>
      <c r="U13" s="30"/>
      <c r="V13" s="40"/>
      <c r="W13" s="30"/>
      <c r="X13" s="37"/>
      <c r="Y13" s="38"/>
    </row>
    <row r="14" ht="14.25" customHeight="1">
      <c r="A14" s="1"/>
      <c r="B14" s="31"/>
      <c r="C14" s="32"/>
      <c r="D14" s="32"/>
      <c r="E14" s="32"/>
      <c r="F14" s="32"/>
      <c r="G14" s="32"/>
      <c r="H14" s="32"/>
      <c r="I14" s="32"/>
      <c r="J14" s="32"/>
      <c r="K14" s="32"/>
      <c r="L14" s="33"/>
      <c r="M14" s="41"/>
      <c r="N14" s="42"/>
      <c r="O14" s="41"/>
      <c r="P14" s="42"/>
      <c r="Q14" s="41"/>
      <c r="R14" s="42"/>
      <c r="S14" s="41"/>
      <c r="T14" s="42"/>
      <c r="U14" s="41"/>
      <c r="V14" s="42"/>
      <c r="W14" s="41"/>
      <c r="X14" s="43"/>
      <c r="Y14" s="44"/>
    </row>
    <row r="15" ht="14.25" customHeight="1">
      <c r="A15" s="1"/>
      <c r="B15" s="45">
        <v>1.0</v>
      </c>
      <c r="C15" s="5"/>
      <c r="D15" s="5"/>
      <c r="E15" s="5"/>
      <c r="F15" s="5"/>
      <c r="G15" s="5"/>
      <c r="H15" s="5"/>
      <c r="I15" s="5"/>
      <c r="J15" s="5"/>
      <c r="K15" s="5"/>
      <c r="L15" s="46"/>
      <c r="M15" s="47">
        <v>2.0</v>
      </c>
      <c r="N15" s="48">
        <v>3.0</v>
      </c>
      <c r="O15" s="47">
        <v>4.0</v>
      </c>
      <c r="P15" s="49">
        <v>5.0</v>
      </c>
      <c r="Q15" s="50">
        <v>6.0</v>
      </c>
      <c r="R15" s="51" t="s">
        <v>24</v>
      </c>
      <c r="S15" s="52">
        <v>8.0</v>
      </c>
      <c r="T15" s="51">
        <v>9.0</v>
      </c>
      <c r="U15" s="52">
        <v>10.0</v>
      </c>
      <c r="V15" s="51">
        <v>11.0</v>
      </c>
      <c r="W15" s="52" t="s">
        <v>25</v>
      </c>
      <c r="X15" s="53">
        <v>13.0</v>
      </c>
      <c r="Y15" s="54">
        <v>14.0</v>
      </c>
    </row>
    <row r="16" ht="14.25" customHeight="1">
      <c r="B16" s="55"/>
      <c r="L16" s="29"/>
      <c r="M16" s="56"/>
      <c r="N16" s="57"/>
      <c r="O16" s="56"/>
      <c r="P16" s="57"/>
      <c r="Q16" s="56"/>
      <c r="R16" s="57"/>
      <c r="S16" s="56"/>
      <c r="T16" s="57"/>
      <c r="U16" s="56"/>
      <c r="V16" s="57"/>
      <c r="W16" s="56"/>
      <c r="X16" s="58"/>
      <c r="Y16" s="59"/>
    </row>
    <row r="17" ht="14.25" customHeight="1">
      <c r="B17" s="60" t="s">
        <v>26</v>
      </c>
      <c r="L17" s="61"/>
      <c r="M17" s="62"/>
      <c r="N17" s="63"/>
      <c r="O17" s="62"/>
      <c r="P17" s="63"/>
      <c r="Q17" s="62"/>
      <c r="R17" s="63"/>
      <c r="S17" s="62"/>
      <c r="T17" s="63"/>
      <c r="U17" s="62"/>
      <c r="V17" s="63"/>
      <c r="W17" s="62"/>
      <c r="X17" s="64"/>
      <c r="Y17" s="65"/>
    </row>
    <row r="18" ht="14.25" customHeight="1">
      <c r="B18" s="66" t="s">
        <v>27</v>
      </c>
      <c r="C18" s="67"/>
      <c r="D18" s="67"/>
      <c r="E18" s="67"/>
      <c r="L18" s="61"/>
      <c r="M18" s="62"/>
      <c r="N18" s="64"/>
      <c r="O18" s="68"/>
      <c r="P18" s="64"/>
      <c r="Q18" s="68"/>
      <c r="R18" s="64"/>
      <c r="S18" s="68"/>
      <c r="T18" s="64"/>
      <c r="U18" s="68"/>
      <c r="V18" s="64"/>
      <c r="W18" s="68"/>
      <c r="X18" s="64"/>
      <c r="Y18" s="65"/>
    </row>
    <row r="19" ht="15.0" customHeight="1">
      <c r="B19" s="69"/>
      <c r="C19" s="70"/>
      <c r="L19" s="61"/>
      <c r="M19" s="62"/>
      <c r="N19" s="71"/>
      <c r="O19" s="72"/>
      <c r="P19" s="71"/>
      <c r="Q19" s="72"/>
      <c r="R19" s="64"/>
      <c r="S19" s="72"/>
      <c r="T19" s="71"/>
      <c r="U19" s="72"/>
      <c r="V19" s="71"/>
      <c r="W19" s="68"/>
      <c r="X19" s="73"/>
      <c r="Y19" s="65"/>
    </row>
    <row r="20" ht="14.25" customHeight="1">
      <c r="B20" s="74" t="s">
        <v>28</v>
      </c>
      <c r="C20" s="75"/>
      <c r="L20" s="61"/>
      <c r="M20" s="62"/>
      <c r="N20" s="71"/>
      <c r="O20" s="72"/>
      <c r="P20" s="71"/>
      <c r="Q20" s="72"/>
      <c r="R20" s="64"/>
      <c r="S20" s="72"/>
      <c r="T20" s="71"/>
      <c r="U20" s="72"/>
      <c r="V20" s="71"/>
      <c r="W20" s="68"/>
      <c r="X20" s="64"/>
      <c r="Y20" s="65"/>
    </row>
    <row r="21" ht="48.0" customHeight="1">
      <c r="B21" s="69">
        <v>1.1</v>
      </c>
      <c r="C21" s="70" t="s">
        <v>29</v>
      </c>
      <c r="L21" s="61"/>
      <c r="M21" s="62"/>
      <c r="N21" s="71"/>
      <c r="O21" s="72"/>
      <c r="P21" s="71"/>
      <c r="Q21" s="72"/>
      <c r="R21" s="64"/>
      <c r="S21" s="72"/>
      <c r="T21" s="71"/>
      <c r="U21" s="72"/>
      <c r="V21" s="71"/>
      <c r="W21" s="68"/>
      <c r="X21" s="64"/>
      <c r="Y21" s="76" t="s">
        <v>30</v>
      </c>
    </row>
    <row r="22" ht="25.5" customHeight="1">
      <c r="B22" s="77"/>
      <c r="C22" s="77" t="s">
        <v>31</v>
      </c>
      <c r="L22" s="61"/>
      <c r="M22" s="62"/>
      <c r="N22" s="71"/>
      <c r="O22" s="72"/>
      <c r="P22" s="71"/>
      <c r="Q22" s="72"/>
      <c r="R22" s="78"/>
      <c r="S22" s="72"/>
      <c r="T22" s="71"/>
      <c r="U22" s="72"/>
      <c r="V22" s="71"/>
      <c r="W22" s="68"/>
      <c r="X22" s="64"/>
      <c r="Y22" s="40"/>
    </row>
    <row r="23" ht="33.0" customHeight="1">
      <c r="B23" s="77"/>
      <c r="C23" s="77" t="s">
        <v>32</v>
      </c>
      <c r="L23" s="61"/>
      <c r="M23" s="62"/>
      <c r="N23" s="71"/>
      <c r="O23" s="72"/>
      <c r="P23" s="71"/>
      <c r="Q23" s="72"/>
      <c r="R23" s="78"/>
      <c r="S23" s="72"/>
      <c r="T23" s="71"/>
      <c r="U23" s="72"/>
      <c r="V23" s="71"/>
      <c r="W23" s="68"/>
      <c r="X23" s="64"/>
      <c r="Y23" s="40"/>
    </row>
    <row r="24" ht="30.75" customHeight="1">
      <c r="B24" s="77"/>
      <c r="C24" s="77" t="s">
        <v>33</v>
      </c>
      <c r="L24" s="61"/>
      <c r="M24" s="62"/>
      <c r="N24" s="71"/>
      <c r="O24" s="72"/>
      <c r="P24" s="71"/>
      <c r="Q24" s="72"/>
      <c r="R24" s="78"/>
      <c r="S24" s="72"/>
      <c r="T24" s="71"/>
      <c r="U24" s="72"/>
      <c r="V24" s="71"/>
      <c r="W24" s="68"/>
      <c r="X24" s="64"/>
      <c r="Y24" s="40"/>
    </row>
    <row r="25" ht="26.25" customHeight="1">
      <c r="B25" s="77"/>
      <c r="C25" s="77" t="s">
        <v>34</v>
      </c>
      <c r="L25" s="61"/>
      <c r="M25" s="62"/>
      <c r="N25" s="71"/>
      <c r="O25" s="72"/>
      <c r="P25" s="71"/>
      <c r="Q25" s="72"/>
      <c r="R25" s="78"/>
      <c r="S25" s="72"/>
      <c r="T25" s="71"/>
      <c r="U25" s="72"/>
      <c r="V25" s="71"/>
      <c r="W25" s="68"/>
      <c r="X25" s="64"/>
      <c r="Y25" s="40"/>
    </row>
    <row r="26" ht="39.0" customHeight="1">
      <c r="B26" s="69"/>
      <c r="C26" s="77" t="s">
        <v>35</v>
      </c>
      <c r="L26" s="61"/>
      <c r="M26" s="62"/>
      <c r="N26" s="79"/>
      <c r="O26" s="80"/>
      <c r="P26" s="79"/>
      <c r="Q26" s="80"/>
      <c r="R26" s="78"/>
      <c r="S26" s="81"/>
      <c r="T26" s="82"/>
      <c r="U26" s="82"/>
      <c r="V26" s="82"/>
      <c r="W26" s="83"/>
      <c r="X26" s="73"/>
      <c r="Y26" s="40"/>
    </row>
    <row r="27" ht="25.5" customHeight="1">
      <c r="B27" s="84"/>
      <c r="C27" s="77" t="s">
        <v>36</v>
      </c>
      <c r="L27" s="61"/>
      <c r="M27" s="62"/>
      <c r="N27" s="85"/>
      <c r="O27" s="86"/>
      <c r="P27" s="85"/>
      <c r="Q27" s="86"/>
      <c r="R27" s="78"/>
      <c r="S27" s="87"/>
      <c r="T27" s="83"/>
      <c r="U27" s="88"/>
      <c r="V27" s="83"/>
      <c r="W27" s="89"/>
      <c r="X27" s="64"/>
      <c r="Y27" s="90"/>
    </row>
    <row r="28" ht="14.25" customHeight="1">
      <c r="B28" s="69">
        <v>1.2</v>
      </c>
      <c r="C28" s="91" t="s">
        <v>37</v>
      </c>
      <c r="L28" s="61"/>
      <c r="M28" s="62"/>
      <c r="N28" s="79"/>
      <c r="O28" s="80"/>
      <c r="P28" s="79"/>
      <c r="Q28" s="80"/>
      <c r="R28" s="92">
        <v>0.9</v>
      </c>
      <c r="S28" s="93">
        <v>0.8719</v>
      </c>
      <c r="T28" s="93"/>
      <c r="U28" s="93"/>
      <c r="V28" s="92"/>
      <c r="W28" s="94">
        <f>AVERAGE(S28,T28,U28,V28)</f>
        <v>0.8719</v>
      </c>
      <c r="X28" s="93">
        <f>IFERROR(__xludf.DUMMYFUNCTION("+W28-R28"),-0.028100000000000014)</f>
        <v>-0.0281</v>
      </c>
      <c r="Y28" s="95" t="s">
        <v>38</v>
      </c>
    </row>
    <row r="29" ht="14.25" customHeight="1">
      <c r="B29" s="96">
        <v>1.3</v>
      </c>
      <c r="C29" s="97" t="s">
        <v>39</v>
      </c>
      <c r="L29" s="61"/>
      <c r="M29" s="62"/>
      <c r="N29" s="85"/>
      <c r="O29" s="86"/>
      <c r="P29" s="85"/>
      <c r="Q29" s="86"/>
      <c r="R29" s="93">
        <v>0.0975</v>
      </c>
      <c r="S29" s="98"/>
      <c r="T29" s="98"/>
      <c r="U29" s="93"/>
      <c r="V29" s="93"/>
      <c r="W29" s="94" t="str">
        <f>IFERROR(__xludf.DUMMYFUNCTION("+V29"),"")</f>
        <v/>
      </c>
      <c r="X29" s="93">
        <f>IFERROR(__xludf.DUMMYFUNCTION("+W29-R29"),-0.0975)</f>
        <v>-0.0975</v>
      </c>
      <c r="Y29" s="99" t="s">
        <v>40</v>
      </c>
    </row>
    <row r="30" ht="100.5" customHeight="1">
      <c r="B30" s="100">
        <v>1.4</v>
      </c>
      <c r="C30" s="70" t="s">
        <v>41</v>
      </c>
      <c r="L30" s="61"/>
      <c r="M30" s="62"/>
      <c r="N30" s="85"/>
      <c r="O30" s="86"/>
      <c r="P30" s="85"/>
      <c r="Q30" s="86"/>
      <c r="R30" s="92">
        <v>0.9</v>
      </c>
      <c r="S30" s="93"/>
      <c r="T30" s="93"/>
      <c r="U30" s="93"/>
      <c r="V30" s="93">
        <v>0.851</v>
      </c>
      <c r="W30" s="94">
        <f>AVERAGE(S30,T30,U30,V30)</f>
        <v>0.851</v>
      </c>
      <c r="X30" s="93">
        <f>IFERROR(__xludf.DUMMYFUNCTION("+W30-R30"),-0.049000000000000044)</f>
        <v>-0.049</v>
      </c>
      <c r="Y30" s="101" t="s">
        <v>42</v>
      </c>
    </row>
    <row r="31" ht="96.75" customHeight="1">
      <c r="B31" s="100">
        <v>1.5</v>
      </c>
      <c r="C31" s="70" t="s">
        <v>43</v>
      </c>
      <c r="L31" s="61"/>
      <c r="M31" s="62"/>
      <c r="N31" s="85"/>
      <c r="O31" s="86"/>
      <c r="P31" s="85"/>
      <c r="Q31" s="86"/>
      <c r="R31" s="92">
        <v>0.4</v>
      </c>
      <c r="S31" s="83"/>
      <c r="T31" s="93"/>
      <c r="U31" s="93"/>
      <c r="V31" s="92"/>
      <c r="W31" s="94" t="str">
        <f>AVERAGE(T31,U31,V31)</f>
        <v>#DIV/0!</v>
      </c>
      <c r="X31" s="93" t="str">
        <f>IFERROR(__xludf.DUMMYFUNCTION("+W31-R31"),"#DIV/0!")</f>
        <v>#DIV/0!</v>
      </c>
      <c r="Y31" s="102" t="s">
        <v>42</v>
      </c>
    </row>
    <row r="32" ht="26.25" customHeight="1">
      <c r="B32" s="100">
        <v>1.6</v>
      </c>
      <c r="C32" s="70" t="s">
        <v>44</v>
      </c>
      <c r="L32" s="61"/>
      <c r="M32" s="62"/>
      <c r="N32" s="85"/>
      <c r="O32" s="86"/>
      <c r="P32" s="85"/>
      <c r="Q32" s="103">
        <v>0.81</v>
      </c>
      <c r="R32" s="92">
        <v>0.81</v>
      </c>
      <c r="S32" s="83"/>
      <c r="T32" s="83"/>
      <c r="U32" s="88"/>
      <c r="V32" s="92">
        <v>0.8621</v>
      </c>
      <c r="W32" s="94">
        <f>IFERROR(__xludf.DUMMYFUNCTION("+V32"),0.8621)</f>
        <v>0.8621</v>
      </c>
      <c r="X32" s="104">
        <f>IFERROR(__xludf.DUMMYFUNCTION("+W32-R32"),0.052099999999999924)</f>
        <v>0.0521</v>
      </c>
      <c r="Y32" s="76" t="s">
        <v>45</v>
      </c>
    </row>
    <row r="33" ht="42.0" customHeight="1">
      <c r="A33" s="105"/>
      <c r="B33" s="106">
        <v>1.7</v>
      </c>
      <c r="C33" s="97" t="s">
        <v>46</v>
      </c>
      <c r="D33" s="105"/>
      <c r="E33" s="105"/>
      <c r="F33" s="105"/>
      <c r="G33" s="105"/>
      <c r="H33" s="105"/>
      <c r="I33" s="105"/>
      <c r="J33" s="105"/>
      <c r="K33" s="105"/>
      <c r="L33" s="107"/>
      <c r="M33" s="108"/>
      <c r="N33" s="109"/>
      <c r="O33" s="110"/>
      <c r="P33" s="109"/>
      <c r="Q33" s="111">
        <v>0.81</v>
      </c>
      <c r="R33" s="93">
        <v>0.81</v>
      </c>
      <c r="S33" s="98"/>
      <c r="T33" s="98"/>
      <c r="U33" s="112"/>
      <c r="V33" s="93">
        <v>0.3705</v>
      </c>
      <c r="W33" s="94">
        <f>IFERROR(__xludf.DUMMYFUNCTION("+V33"),0.3705)</f>
        <v>0.3705</v>
      </c>
      <c r="X33" s="104">
        <f>IFERROR(__xludf.DUMMYFUNCTION("+W33-R33"),-0.43950000000000006)</f>
        <v>-0.4395</v>
      </c>
      <c r="Y33" s="90"/>
      <c r="Z33" s="105"/>
      <c r="AA33" s="105"/>
      <c r="AB33" s="105"/>
      <c r="AC33" s="105"/>
      <c r="AD33" s="105"/>
      <c r="AE33" s="105"/>
    </row>
    <row r="34" ht="14.25" customHeight="1">
      <c r="B34" s="113">
        <v>1.8</v>
      </c>
      <c r="C34" s="105" t="s">
        <v>47</v>
      </c>
      <c r="L34" s="61"/>
      <c r="M34" s="62"/>
      <c r="N34" s="114"/>
      <c r="O34" s="115"/>
      <c r="P34" s="114"/>
      <c r="Q34" s="115"/>
      <c r="R34" s="92">
        <v>0.4</v>
      </c>
      <c r="S34" s="92"/>
      <c r="T34" s="92"/>
      <c r="U34" s="116"/>
      <c r="V34" s="92"/>
      <c r="W34" s="94" t="str">
        <f>IFERROR(__xludf.DUMMYFUNCTION("+T34"),"")</f>
        <v/>
      </c>
      <c r="X34" s="93">
        <f>IFERROR(__xludf.DUMMYFUNCTION("+W34-R34"),-0.4)</f>
        <v>-0.4</v>
      </c>
      <c r="Y34" s="99" t="s">
        <v>48</v>
      </c>
    </row>
    <row r="35" ht="14.25" customHeight="1">
      <c r="B35" s="60" t="s">
        <v>49</v>
      </c>
      <c r="L35" s="61"/>
      <c r="M35" s="62"/>
      <c r="N35" s="64"/>
      <c r="O35" s="68"/>
      <c r="P35" s="64"/>
      <c r="Q35" s="68"/>
      <c r="R35" s="64"/>
      <c r="S35" s="64"/>
      <c r="T35" s="64"/>
      <c r="U35" s="117"/>
      <c r="V35" s="63"/>
      <c r="W35" s="89"/>
      <c r="X35" s="64"/>
      <c r="Y35" s="65"/>
    </row>
    <row r="36" ht="14.25" customHeight="1">
      <c r="B36" s="113">
        <v>1.1</v>
      </c>
      <c r="C36" s="118" t="s">
        <v>50</v>
      </c>
      <c r="L36" s="61"/>
      <c r="M36" s="62"/>
      <c r="N36" s="64"/>
      <c r="O36" s="68"/>
      <c r="P36" s="64"/>
      <c r="Q36" s="68"/>
      <c r="R36" s="64"/>
      <c r="S36" s="64"/>
      <c r="T36" s="64"/>
      <c r="U36" s="117"/>
      <c r="V36" s="63"/>
      <c r="W36" s="89"/>
      <c r="X36" s="64"/>
      <c r="Y36" s="65"/>
    </row>
    <row r="37" ht="14.25" customHeight="1">
      <c r="B37" s="69"/>
      <c r="C37" s="70" t="s">
        <v>51</v>
      </c>
      <c r="L37" s="61"/>
      <c r="M37" s="62"/>
      <c r="N37" s="83"/>
      <c r="O37" s="68"/>
      <c r="P37" s="83"/>
      <c r="Q37" s="119"/>
      <c r="R37" s="98"/>
      <c r="S37" s="83"/>
      <c r="T37" s="83"/>
      <c r="U37" s="88"/>
      <c r="V37" s="83"/>
      <c r="W37" s="87"/>
      <c r="X37" s="83"/>
      <c r="Y37" s="65"/>
    </row>
    <row r="38" ht="14.25" customHeight="1">
      <c r="B38" s="69"/>
      <c r="C38" s="77" t="s">
        <v>52</v>
      </c>
      <c r="L38" s="61"/>
      <c r="M38" s="62"/>
      <c r="N38" s="83"/>
      <c r="O38" s="68"/>
      <c r="P38" s="83"/>
      <c r="Q38" s="119"/>
      <c r="R38" s="98">
        <v>227542.0</v>
      </c>
      <c r="S38" s="83">
        <v>227496.0</v>
      </c>
      <c r="T38" s="83"/>
      <c r="U38" s="88"/>
      <c r="V38" s="83"/>
      <c r="W38" s="87">
        <f t="shared" ref="W38:W39" si="1">S38</f>
        <v>227496</v>
      </c>
      <c r="X38" s="83">
        <f>IFERROR(__xludf.DUMMYFUNCTION("+W38-R38"),-46.0)</f>
        <v>-46</v>
      </c>
      <c r="Y38" s="76"/>
    </row>
    <row r="39" ht="14.25" customHeight="1">
      <c r="B39" s="69"/>
      <c r="C39" s="77" t="s">
        <v>53</v>
      </c>
      <c r="L39" s="61"/>
      <c r="M39" s="62"/>
      <c r="N39" s="83"/>
      <c r="O39" s="68"/>
      <c r="P39" s="83"/>
      <c r="Q39" s="119"/>
      <c r="R39" s="98">
        <v>227542.0</v>
      </c>
      <c r="S39" s="83">
        <v>244149.0</v>
      </c>
      <c r="T39" s="83"/>
      <c r="U39" s="88"/>
      <c r="V39" s="83"/>
      <c r="W39" s="87">
        <f t="shared" si="1"/>
        <v>244149</v>
      </c>
      <c r="X39" s="83">
        <f>IFERROR(__xludf.DUMMYFUNCTION("+W39-R39"),16607.0)</f>
        <v>16607</v>
      </c>
      <c r="Y39" s="40"/>
    </row>
    <row r="40" ht="14.25" customHeight="1">
      <c r="B40" s="69"/>
      <c r="C40" s="77" t="s">
        <v>54</v>
      </c>
      <c r="L40" s="61"/>
      <c r="M40" s="62"/>
      <c r="N40" s="83"/>
      <c r="O40" s="68"/>
      <c r="P40" s="83"/>
      <c r="Q40" s="119"/>
      <c r="R40" s="98">
        <v>227542.0</v>
      </c>
      <c r="S40" s="83"/>
      <c r="T40" s="83">
        <v>247240.0</v>
      </c>
      <c r="U40" s="88"/>
      <c r="V40" s="83"/>
      <c r="W40" s="87">
        <f>IFERROR(__xludf.DUMMYFUNCTION("+T40"),247240.0)</f>
        <v>247240</v>
      </c>
      <c r="X40" s="83">
        <f>IFERROR(__xludf.DUMMYFUNCTION("+W40-R40"),19698.0)</f>
        <v>19698</v>
      </c>
      <c r="Y40" s="40"/>
    </row>
    <row r="41" ht="14.25" customHeight="1">
      <c r="B41" s="69"/>
      <c r="C41" s="77" t="s">
        <v>55</v>
      </c>
      <c r="L41" s="61"/>
      <c r="M41" s="62"/>
      <c r="N41" s="83"/>
      <c r="O41" s="68"/>
      <c r="P41" s="83"/>
      <c r="Q41" s="119"/>
      <c r="R41" s="98">
        <v>227542.0</v>
      </c>
      <c r="S41" s="83"/>
      <c r="T41" s="83"/>
      <c r="U41" s="88">
        <v>247836.0</v>
      </c>
      <c r="V41" s="83"/>
      <c r="W41" s="87">
        <f>IFERROR(__xludf.DUMMYFUNCTION("+U41"),247836.0)</f>
        <v>247836</v>
      </c>
      <c r="X41" s="83">
        <f>IFERROR(__xludf.DUMMYFUNCTION("+W41-R41"),20294.0)</f>
        <v>20294</v>
      </c>
      <c r="Y41" s="40"/>
    </row>
    <row r="42" ht="14.25" customHeight="1">
      <c r="B42" s="69"/>
      <c r="C42" s="77" t="s">
        <v>56</v>
      </c>
      <c r="L42" s="61"/>
      <c r="M42" s="62"/>
      <c r="N42" s="83"/>
      <c r="O42" s="68"/>
      <c r="P42" s="83"/>
      <c r="Q42" s="119"/>
      <c r="R42" s="98">
        <v>227542.0</v>
      </c>
      <c r="S42" s="83"/>
      <c r="T42" s="83"/>
      <c r="U42" s="88">
        <v>245881.0</v>
      </c>
      <c r="V42" s="83"/>
      <c r="W42" s="87">
        <f>IFERROR(__xludf.DUMMYFUNCTION("+U42"),245881.0)</f>
        <v>245881</v>
      </c>
      <c r="X42" s="83">
        <f>IFERROR(__xludf.DUMMYFUNCTION("+W42-R42"),18339.0)</f>
        <v>18339</v>
      </c>
      <c r="Y42" s="40"/>
    </row>
    <row r="43" ht="14.25" customHeight="1">
      <c r="B43" s="69"/>
      <c r="C43" s="77" t="s">
        <v>57</v>
      </c>
      <c r="L43" s="61"/>
      <c r="M43" s="62"/>
      <c r="N43" s="83"/>
      <c r="O43" s="68"/>
      <c r="P43" s="83"/>
      <c r="Q43" s="119"/>
      <c r="R43" s="98">
        <v>227542.0</v>
      </c>
      <c r="S43" s="83"/>
      <c r="T43" s="83"/>
      <c r="U43" s="88"/>
      <c r="V43" s="83">
        <v>246905.0</v>
      </c>
      <c r="W43" s="87">
        <f>IFERROR(__xludf.DUMMYFUNCTION("+V43"),246905.0)</f>
        <v>246905</v>
      </c>
      <c r="X43" s="83">
        <f>IFERROR(__xludf.DUMMYFUNCTION("+W43-R43"),19363.0)</f>
        <v>19363</v>
      </c>
      <c r="Y43" s="40"/>
    </row>
    <row r="44" ht="14.25" customHeight="1">
      <c r="B44" s="100"/>
      <c r="C44" s="70" t="s">
        <v>58</v>
      </c>
      <c r="L44" s="61"/>
      <c r="M44" s="62"/>
      <c r="N44" s="83"/>
      <c r="O44" s="68"/>
      <c r="P44" s="83"/>
      <c r="Q44" s="119"/>
      <c r="R44" s="98"/>
      <c r="S44" s="83"/>
      <c r="T44" s="83"/>
      <c r="U44" s="88"/>
      <c r="V44" s="83"/>
      <c r="W44" s="87"/>
      <c r="X44" s="83"/>
      <c r="Y44" s="40"/>
    </row>
    <row r="45" ht="14.25" customHeight="1">
      <c r="B45" s="69"/>
      <c r="C45" s="77" t="s">
        <v>52</v>
      </c>
      <c r="L45" s="61"/>
      <c r="M45" s="62"/>
      <c r="N45" s="83"/>
      <c r="O45" s="68"/>
      <c r="P45" s="83"/>
      <c r="Q45" s="119"/>
      <c r="R45" s="98">
        <v>17325.0</v>
      </c>
      <c r="S45" s="83">
        <v>16719.0</v>
      </c>
      <c r="T45" s="83"/>
      <c r="U45" s="88"/>
      <c r="V45" s="83"/>
      <c r="W45" s="87">
        <f t="shared" ref="W45:W46" si="2">S45</f>
        <v>16719</v>
      </c>
      <c r="X45" s="83">
        <f>IFERROR(__xludf.DUMMYFUNCTION("+W45-R45"),-606.0)</f>
        <v>-606</v>
      </c>
      <c r="Y45" s="40"/>
    </row>
    <row r="46" ht="14.25" customHeight="1">
      <c r="B46" s="69"/>
      <c r="C46" s="77" t="s">
        <v>53</v>
      </c>
      <c r="L46" s="61"/>
      <c r="M46" s="62"/>
      <c r="N46" s="83"/>
      <c r="O46" s="68"/>
      <c r="P46" s="83"/>
      <c r="Q46" s="119"/>
      <c r="R46" s="98">
        <v>17325.0</v>
      </c>
      <c r="S46" s="83">
        <v>16849.0</v>
      </c>
      <c r="T46" s="83"/>
      <c r="U46" s="88"/>
      <c r="V46" s="83"/>
      <c r="W46" s="87">
        <f t="shared" si="2"/>
        <v>16849</v>
      </c>
      <c r="X46" s="83">
        <f>IFERROR(__xludf.DUMMYFUNCTION("+W46-R46"),-476.0)</f>
        <v>-476</v>
      </c>
      <c r="Y46" s="40"/>
    </row>
    <row r="47" ht="14.25" customHeight="1">
      <c r="B47" s="69"/>
      <c r="C47" s="77" t="s">
        <v>54</v>
      </c>
      <c r="L47" s="61"/>
      <c r="M47" s="62"/>
      <c r="N47" s="83"/>
      <c r="O47" s="68"/>
      <c r="P47" s="83"/>
      <c r="Q47" s="119"/>
      <c r="R47" s="98">
        <v>17325.0</v>
      </c>
      <c r="S47" s="83"/>
      <c r="T47" s="83">
        <v>16919.0</v>
      </c>
      <c r="U47" s="88"/>
      <c r="V47" s="83"/>
      <c r="W47" s="87">
        <f>IFERROR(__xludf.DUMMYFUNCTION("+T47"),16919.0)</f>
        <v>16919</v>
      </c>
      <c r="X47" s="83">
        <f>IFERROR(__xludf.DUMMYFUNCTION("+W47-R47"),-406.0)</f>
        <v>-406</v>
      </c>
      <c r="Y47" s="40"/>
    </row>
    <row r="48" ht="14.25" customHeight="1">
      <c r="B48" s="69"/>
      <c r="C48" s="77" t="s">
        <v>55</v>
      </c>
      <c r="L48" s="61"/>
      <c r="M48" s="62"/>
      <c r="N48" s="83"/>
      <c r="O48" s="68"/>
      <c r="P48" s="83"/>
      <c r="Q48" s="119"/>
      <c r="R48" s="98">
        <v>17325.0</v>
      </c>
      <c r="S48" s="83"/>
      <c r="T48" s="83"/>
      <c r="U48" s="88">
        <v>17359.0</v>
      </c>
      <c r="V48" s="83"/>
      <c r="W48" s="87">
        <f>IFERROR(__xludf.DUMMYFUNCTION("+U48"),17359.0)</f>
        <v>17359</v>
      </c>
      <c r="X48" s="83">
        <f>IFERROR(__xludf.DUMMYFUNCTION("+W48-R48"),34.0)</f>
        <v>34</v>
      </c>
      <c r="Y48" s="40"/>
    </row>
    <row r="49" ht="14.25" customHeight="1">
      <c r="B49" s="69"/>
      <c r="C49" s="77" t="s">
        <v>56</v>
      </c>
      <c r="L49" s="61"/>
      <c r="M49" s="62"/>
      <c r="N49" s="120"/>
      <c r="O49" s="121"/>
      <c r="P49" s="120"/>
      <c r="Q49" s="122"/>
      <c r="R49" s="98">
        <v>17325.0</v>
      </c>
      <c r="S49" s="120"/>
      <c r="T49" s="120"/>
      <c r="U49" s="123">
        <v>16762.0</v>
      </c>
      <c r="V49" s="120"/>
      <c r="W49" s="124">
        <f>IFERROR(__xludf.DUMMYFUNCTION("+U49"),16762.0)</f>
        <v>16762</v>
      </c>
      <c r="X49" s="83">
        <f>IFERROR(__xludf.DUMMYFUNCTION("+W49-R49"),-563.0)</f>
        <v>-563</v>
      </c>
      <c r="Y49" s="40"/>
    </row>
    <row r="50" ht="14.25" customHeight="1">
      <c r="B50" s="69"/>
      <c r="C50" s="77" t="s">
        <v>57</v>
      </c>
      <c r="L50" s="61"/>
      <c r="M50" s="62"/>
      <c r="N50" s="120"/>
      <c r="O50" s="121"/>
      <c r="P50" s="120"/>
      <c r="Q50" s="122"/>
      <c r="R50" s="98">
        <v>17325.0</v>
      </c>
      <c r="S50" s="120"/>
      <c r="T50" s="120"/>
      <c r="U50" s="123"/>
      <c r="V50" s="120">
        <v>16775.0</v>
      </c>
      <c r="W50" s="124">
        <f>IFERROR(__xludf.DUMMYFUNCTION("+V50"),16775.0)</f>
        <v>16775</v>
      </c>
      <c r="X50" s="83">
        <f>IFERROR(__xludf.DUMMYFUNCTION("+W50-R50"),-550.0)</f>
        <v>-550</v>
      </c>
      <c r="Y50" s="90"/>
    </row>
    <row r="51" ht="14.25" customHeight="1">
      <c r="A51" s="105"/>
      <c r="B51" s="125">
        <v>1.2</v>
      </c>
      <c r="C51" s="126" t="s">
        <v>59</v>
      </c>
      <c r="D51" s="105"/>
      <c r="E51" s="105"/>
      <c r="F51" s="105"/>
      <c r="G51" s="105"/>
      <c r="H51" s="105"/>
      <c r="I51" s="105"/>
      <c r="J51" s="105"/>
      <c r="K51" s="105"/>
      <c r="L51" s="107"/>
      <c r="M51" s="108"/>
      <c r="N51" s="127"/>
      <c r="O51" s="128"/>
      <c r="P51" s="127"/>
      <c r="Q51" s="129"/>
      <c r="R51" s="130">
        <v>0.91</v>
      </c>
      <c r="S51" s="130">
        <v>0.9717</v>
      </c>
      <c r="T51" s="130">
        <v>0.9784</v>
      </c>
      <c r="U51" s="131">
        <v>0.9929913574407705</v>
      </c>
      <c r="V51" s="130">
        <v>0.9921</v>
      </c>
      <c r="W51" s="132">
        <f>AVERAGE(S51:V51)</f>
        <v>0.9837978394</v>
      </c>
      <c r="X51" s="130">
        <f>IFERROR(__xludf.DUMMYFUNCTION("+W51-R51"),0.07379783936019246)</f>
        <v>0.07379783936</v>
      </c>
      <c r="Y51" s="99"/>
      <c r="Z51" s="105"/>
      <c r="AA51" s="105"/>
      <c r="AB51" s="105"/>
      <c r="AC51" s="105"/>
      <c r="AD51" s="105"/>
      <c r="AE51" s="105"/>
    </row>
    <row r="52" ht="60.0" customHeight="1">
      <c r="B52" s="125">
        <v>1.3</v>
      </c>
      <c r="C52" s="126" t="s">
        <v>60</v>
      </c>
      <c r="L52" s="61"/>
      <c r="M52" s="62"/>
      <c r="N52" s="120">
        <f t="shared" ref="N52:R52" si="3">SUM(N53:N54)</f>
        <v>0</v>
      </c>
      <c r="O52" s="120">
        <f t="shared" si="3"/>
        <v>0</v>
      </c>
      <c r="P52" s="120">
        <f t="shared" si="3"/>
        <v>9094</v>
      </c>
      <c r="Q52" s="120">
        <f t="shared" si="3"/>
        <v>5044</v>
      </c>
      <c r="R52" s="120">
        <f t="shared" si="3"/>
        <v>14138</v>
      </c>
      <c r="S52" s="120"/>
      <c r="T52" s="120"/>
      <c r="U52" s="123"/>
      <c r="V52" s="120"/>
      <c r="W52" s="124">
        <f>SUM(W53:W54)</f>
        <v>20010</v>
      </c>
      <c r="X52" s="120">
        <f>IFERROR(__xludf.DUMMYFUNCTION("+W52-R52"),5872.0)</f>
        <v>5872</v>
      </c>
      <c r="Y52" s="76" t="s">
        <v>61</v>
      </c>
    </row>
    <row r="53" ht="32.25" customHeight="1">
      <c r="B53" s="125"/>
      <c r="C53" s="126"/>
      <c r="D53" s="133" t="s">
        <v>62</v>
      </c>
      <c r="L53" s="61"/>
      <c r="M53" s="62"/>
      <c r="N53" s="120"/>
      <c r="O53" s="121"/>
      <c r="P53" s="120">
        <v>390.0</v>
      </c>
      <c r="Q53" s="122">
        <v>1629.0</v>
      </c>
      <c r="R53" s="127">
        <v>2019.0</v>
      </c>
      <c r="S53" s="120"/>
      <c r="T53" s="120"/>
      <c r="U53" s="123">
        <v>1464.0</v>
      </c>
      <c r="V53" s="120">
        <v>555.0</v>
      </c>
      <c r="W53" s="124">
        <f>IFERROR(__xludf.DUMMYFUNCTION("+U53+V53"),2019.0)</f>
        <v>2019</v>
      </c>
      <c r="X53" s="120">
        <f>IFERROR(__xludf.DUMMYFUNCTION("+W53-R53"),0.0)</f>
        <v>0</v>
      </c>
      <c r="Y53" s="40"/>
    </row>
    <row r="54" ht="33.0" customHeight="1">
      <c r="B54" s="125"/>
      <c r="C54" s="126"/>
      <c r="D54" s="133" t="s">
        <v>63</v>
      </c>
      <c r="L54" s="61"/>
      <c r="M54" s="62"/>
      <c r="N54" s="120"/>
      <c r="O54" s="121"/>
      <c r="P54" s="120">
        <v>8704.0</v>
      </c>
      <c r="Q54" s="122">
        <v>3415.0</v>
      </c>
      <c r="R54" s="127">
        <v>12119.0</v>
      </c>
      <c r="S54" s="120"/>
      <c r="T54" s="120"/>
      <c r="U54" s="123">
        <v>12910.0</v>
      </c>
      <c r="V54" s="120">
        <v>5081.0</v>
      </c>
      <c r="W54" s="124">
        <f>IFERROR(__xludf.DUMMYFUNCTION("+U54+V54"),17991.0)</f>
        <v>17991</v>
      </c>
      <c r="X54" s="120">
        <f>IFERROR(__xludf.DUMMYFUNCTION("+W54-R54"),5872.0)</f>
        <v>5872</v>
      </c>
      <c r="Y54" s="90"/>
    </row>
    <row r="55" ht="14.25" customHeight="1">
      <c r="B55" s="100">
        <v>1.5</v>
      </c>
      <c r="C55" s="77" t="s">
        <v>64</v>
      </c>
      <c r="L55" s="61"/>
      <c r="M55" s="62"/>
      <c r="N55" s="83"/>
      <c r="O55" s="68"/>
      <c r="P55" s="83"/>
      <c r="Q55" s="119"/>
      <c r="R55" s="64"/>
      <c r="S55" s="134"/>
      <c r="T55" s="83"/>
      <c r="U55" s="135"/>
      <c r="V55" s="63"/>
      <c r="W55" s="136"/>
      <c r="X55" s="63"/>
      <c r="Y55" s="65"/>
    </row>
    <row r="56" ht="14.25" customHeight="1">
      <c r="B56" s="100"/>
      <c r="C56" s="126" t="s">
        <v>65</v>
      </c>
      <c r="L56" s="61"/>
      <c r="M56" s="62"/>
      <c r="N56" s="64">
        <v>1.0</v>
      </c>
      <c r="O56" s="64"/>
      <c r="P56" s="64"/>
      <c r="Q56" s="64"/>
      <c r="R56" s="64">
        <v>1.0</v>
      </c>
      <c r="S56" s="83">
        <v>1.0</v>
      </c>
      <c r="T56" s="83">
        <v>1.0</v>
      </c>
      <c r="U56" s="88">
        <v>1.0</v>
      </c>
      <c r="V56" s="64">
        <v>1.0</v>
      </c>
      <c r="W56" s="87">
        <v>1.0</v>
      </c>
      <c r="X56" s="83">
        <f>IFERROR(__xludf.DUMMYFUNCTION("+W56-R56"),0.0)</f>
        <v>0</v>
      </c>
      <c r="Y56" s="65"/>
    </row>
    <row r="57" ht="14.25" customHeight="1">
      <c r="B57" s="100"/>
      <c r="C57" s="126" t="s">
        <v>66</v>
      </c>
      <c r="L57" s="61"/>
      <c r="M57" s="62"/>
      <c r="N57" s="64">
        <v>4.0</v>
      </c>
      <c r="O57" s="64"/>
      <c r="P57" s="64"/>
      <c r="Q57" s="64"/>
      <c r="R57" s="64">
        <v>4.0</v>
      </c>
      <c r="S57" s="83">
        <v>4.0</v>
      </c>
      <c r="T57" s="83">
        <v>4.0</v>
      </c>
      <c r="U57" s="88">
        <v>2.0</v>
      </c>
      <c r="V57" s="64">
        <v>2.0</v>
      </c>
      <c r="W57" s="87">
        <v>4.0</v>
      </c>
      <c r="X57" s="83">
        <f>IFERROR(__xludf.DUMMYFUNCTION("+W57-R57"),0.0)</f>
        <v>0</v>
      </c>
      <c r="Y57" s="65"/>
    </row>
    <row r="58" ht="14.25" customHeight="1">
      <c r="B58" s="100"/>
      <c r="C58" s="137" t="s">
        <v>67</v>
      </c>
      <c r="L58" s="61"/>
      <c r="M58" s="62"/>
      <c r="N58" s="64">
        <v>21.0</v>
      </c>
      <c r="O58" s="64"/>
      <c r="P58" s="64"/>
      <c r="Q58" s="64"/>
      <c r="R58" s="64">
        <v>21.0</v>
      </c>
      <c r="S58" s="68">
        <v>21.0</v>
      </c>
      <c r="T58" s="64">
        <v>21.0</v>
      </c>
      <c r="U58" s="117">
        <v>8.0</v>
      </c>
      <c r="V58" s="64">
        <v>8.0</v>
      </c>
      <c r="W58" s="87">
        <v>8.0</v>
      </c>
      <c r="X58" s="83">
        <f>IFERROR(__xludf.DUMMYFUNCTION("+W58-R58"),-13.0)</f>
        <v>-13</v>
      </c>
      <c r="Y58" s="65"/>
    </row>
    <row r="59" ht="14.25" customHeight="1">
      <c r="B59" s="60"/>
      <c r="C59" s="118" t="s">
        <v>68</v>
      </c>
      <c r="L59" s="61"/>
      <c r="M59" s="62"/>
      <c r="N59" s="64">
        <v>83.0</v>
      </c>
      <c r="O59" s="64"/>
      <c r="P59" s="64"/>
      <c r="Q59" s="64"/>
      <c r="R59" s="64">
        <v>83.0</v>
      </c>
      <c r="S59" s="68">
        <v>83.0</v>
      </c>
      <c r="T59" s="64">
        <v>83.0</v>
      </c>
      <c r="U59" s="117">
        <v>176.0</v>
      </c>
      <c r="V59" s="64">
        <v>176.0</v>
      </c>
      <c r="W59" s="87">
        <v>176.0</v>
      </c>
      <c r="X59" s="83">
        <f>IFERROR(__xludf.DUMMYFUNCTION("+W59-R59"),93.0)</f>
        <v>93</v>
      </c>
      <c r="Y59" s="65"/>
    </row>
    <row r="60" ht="14.25" customHeight="1">
      <c r="B60" s="113">
        <v>1.6</v>
      </c>
      <c r="C60" s="118" t="s">
        <v>69</v>
      </c>
      <c r="L60" s="61"/>
      <c r="M60" s="62"/>
      <c r="N60" s="64"/>
      <c r="O60" s="68"/>
      <c r="P60" s="64"/>
      <c r="Q60" s="68"/>
      <c r="R60" s="64"/>
      <c r="S60" s="68"/>
      <c r="T60" s="64"/>
      <c r="U60" s="117"/>
      <c r="V60" s="64"/>
      <c r="W60" s="87"/>
      <c r="X60" s="83"/>
      <c r="Y60" s="65"/>
    </row>
    <row r="61" ht="14.25" customHeight="1">
      <c r="B61" s="113"/>
      <c r="D61" s="133" t="s">
        <v>70</v>
      </c>
      <c r="L61" s="61"/>
      <c r="M61" s="62"/>
      <c r="N61" s="64">
        <v>8.0</v>
      </c>
      <c r="O61" s="68">
        <v>9.0</v>
      </c>
      <c r="P61" s="64"/>
      <c r="Q61" s="68"/>
      <c r="R61" s="64">
        <v>17.0</v>
      </c>
      <c r="S61" s="68">
        <v>12.0</v>
      </c>
      <c r="T61" s="64">
        <v>2.0</v>
      </c>
      <c r="U61" s="117">
        <v>3.0</v>
      </c>
      <c r="V61" s="64">
        <v>0.0</v>
      </c>
      <c r="W61" s="87">
        <f t="shared" ref="W61:W66" si="4">SUM(S61:V61)</f>
        <v>17</v>
      </c>
      <c r="X61" s="83">
        <f>IFERROR(__xludf.DUMMYFUNCTION("+W61-R61"),0.0)</f>
        <v>0</v>
      </c>
      <c r="Y61" s="95" t="s">
        <v>71</v>
      </c>
    </row>
    <row r="62" ht="14.25" customHeight="1">
      <c r="B62" s="113"/>
      <c r="D62" s="138" t="s">
        <v>72</v>
      </c>
      <c r="E62" s="105"/>
      <c r="F62" s="105"/>
      <c r="G62" s="105"/>
      <c r="H62" s="105"/>
      <c r="I62" s="105"/>
      <c r="J62" s="105"/>
      <c r="K62" s="105"/>
      <c r="L62" s="107"/>
      <c r="M62" s="108"/>
      <c r="N62" s="139"/>
      <c r="O62" s="140"/>
      <c r="P62" s="139"/>
      <c r="Q62" s="140">
        <v>213.0</v>
      </c>
      <c r="R62" s="139">
        <v>213.0</v>
      </c>
      <c r="S62" s="140"/>
      <c r="T62" s="139"/>
      <c r="U62" s="141">
        <v>4.0</v>
      </c>
      <c r="V62" s="139">
        <v>202.0</v>
      </c>
      <c r="W62" s="142">
        <f t="shared" si="4"/>
        <v>206</v>
      </c>
      <c r="X62" s="98">
        <f>IFERROR(__xludf.DUMMYFUNCTION("+W62-R62"),-7.0)</f>
        <v>-7</v>
      </c>
      <c r="Y62" s="95" t="s">
        <v>73</v>
      </c>
    </row>
    <row r="63" ht="14.25" customHeight="1">
      <c r="B63" s="113"/>
      <c r="D63" s="138" t="s">
        <v>74</v>
      </c>
      <c r="E63" s="105"/>
      <c r="F63" s="105"/>
      <c r="G63" s="105"/>
      <c r="H63" s="105"/>
      <c r="I63" s="105"/>
      <c r="J63" s="105"/>
      <c r="K63" s="105"/>
      <c r="L63" s="107"/>
      <c r="M63" s="108"/>
      <c r="N63" s="139"/>
      <c r="O63" s="140"/>
      <c r="P63" s="139">
        <v>7.0</v>
      </c>
      <c r="Q63" s="140">
        <v>8.0</v>
      </c>
      <c r="R63" s="139">
        <v>15.0</v>
      </c>
      <c r="S63" s="140">
        <v>0.0</v>
      </c>
      <c r="T63" s="139">
        <v>0.0</v>
      </c>
      <c r="U63" s="141">
        <v>1.0</v>
      </c>
      <c r="V63" s="139">
        <v>2.0</v>
      </c>
      <c r="W63" s="142">
        <f t="shared" si="4"/>
        <v>3</v>
      </c>
      <c r="X63" s="98">
        <f>IFERROR(__xludf.DUMMYFUNCTION("+W63-R63"),-12.0)</f>
        <v>-12</v>
      </c>
      <c r="Y63" s="99"/>
    </row>
    <row r="64" ht="14.25" customHeight="1">
      <c r="B64" s="113"/>
      <c r="D64" s="138" t="s">
        <v>75</v>
      </c>
      <c r="E64" s="105"/>
      <c r="F64" s="105"/>
      <c r="G64" s="105"/>
      <c r="H64" s="105"/>
      <c r="I64" s="105"/>
      <c r="J64" s="105"/>
      <c r="K64" s="105"/>
      <c r="L64" s="107"/>
      <c r="M64" s="108"/>
      <c r="N64" s="139">
        <v>6.0</v>
      </c>
      <c r="O64" s="140">
        <v>6.0</v>
      </c>
      <c r="P64" s="139">
        <v>7.0</v>
      </c>
      <c r="Q64" s="140">
        <v>10.0</v>
      </c>
      <c r="R64" s="139">
        <v>29.0</v>
      </c>
      <c r="S64" s="140">
        <v>5.0</v>
      </c>
      <c r="T64" s="139">
        <v>5.0</v>
      </c>
      <c r="U64" s="141">
        <v>15.0</v>
      </c>
      <c r="V64" s="139">
        <v>4.0</v>
      </c>
      <c r="W64" s="142">
        <f t="shared" si="4"/>
        <v>29</v>
      </c>
      <c r="X64" s="98">
        <f>IFERROR(__xludf.DUMMYFUNCTION("+W64-R64"),0.0)</f>
        <v>0</v>
      </c>
      <c r="Y64" s="99" t="s">
        <v>76</v>
      </c>
    </row>
    <row r="65" ht="14.25" customHeight="1">
      <c r="B65" s="113"/>
      <c r="D65" s="138" t="s">
        <v>77</v>
      </c>
      <c r="E65" s="105"/>
      <c r="F65" s="105"/>
      <c r="G65" s="105"/>
      <c r="H65" s="105"/>
      <c r="I65" s="105"/>
      <c r="J65" s="105"/>
      <c r="K65" s="105"/>
      <c r="L65" s="107"/>
      <c r="M65" s="108"/>
      <c r="N65" s="139">
        <v>4.0</v>
      </c>
      <c r="O65" s="140">
        <v>4.0</v>
      </c>
      <c r="P65" s="139">
        <v>5.0</v>
      </c>
      <c r="Q65" s="140">
        <v>6.0</v>
      </c>
      <c r="R65" s="139">
        <v>19.0</v>
      </c>
      <c r="S65" s="140">
        <v>1.0</v>
      </c>
      <c r="T65" s="139">
        <v>12.0</v>
      </c>
      <c r="U65" s="141">
        <v>4.0</v>
      </c>
      <c r="V65" s="139">
        <v>2.0</v>
      </c>
      <c r="W65" s="142">
        <f t="shared" si="4"/>
        <v>19</v>
      </c>
      <c r="X65" s="98">
        <f>IFERROR(__xludf.DUMMYFUNCTION("+W65-R65"),0.0)</f>
        <v>0</v>
      </c>
      <c r="Y65" s="95" t="s">
        <v>78</v>
      </c>
    </row>
    <row r="66" ht="14.25" customHeight="1">
      <c r="B66" s="69">
        <v>1.7</v>
      </c>
      <c r="C66" s="70" t="s">
        <v>79</v>
      </c>
      <c r="D66" s="143"/>
      <c r="E66" s="143"/>
      <c r="L66" s="61"/>
      <c r="M66" s="62"/>
      <c r="N66" s="83">
        <v>3190.0</v>
      </c>
      <c r="O66" s="119">
        <v>3190.0</v>
      </c>
      <c r="P66" s="83">
        <v>3190.0</v>
      </c>
      <c r="Q66" s="119">
        <v>63610.0</v>
      </c>
      <c r="R66" s="83">
        <v>73180.0</v>
      </c>
      <c r="S66" s="119">
        <v>3190.0</v>
      </c>
      <c r="T66" s="83">
        <v>3190.0</v>
      </c>
      <c r="U66" s="88">
        <v>3190.0</v>
      </c>
      <c r="V66" s="83">
        <v>31655.0</v>
      </c>
      <c r="W66" s="87">
        <f t="shared" si="4"/>
        <v>41225</v>
      </c>
      <c r="X66" s="83">
        <f>IFERROR(__xludf.DUMMYFUNCTION("+W66-R66"),-31955.0)</f>
        <v>-31955</v>
      </c>
      <c r="Y66" s="65"/>
    </row>
    <row r="67" ht="14.25" customHeight="1">
      <c r="B67" s="69"/>
      <c r="C67" s="91" t="s">
        <v>80</v>
      </c>
      <c r="D67" s="144"/>
      <c r="E67" s="144"/>
      <c r="L67" s="61"/>
      <c r="M67" s="62"/>
      <c r="N67" s="92">
        <v>1.0</v>
      </c>
      <c r="O67" s="145">
        <v>1.0</v>
      </c>
      <c r="P67" s="92">
        <v>1.0</v>
      </c>
      <c r="Q67" s="145">
        <v>1.0</v>
      </c>
      <c r="R67" s="92">
        <v>1.0</v>
      </c>
      <c r="S67" s="145">
        <v>1.0</v>
      </c>
      <c r="T67" s="92">
        <v>1.0</v>
      </c>
      <c r="U67" s="145"/>
      <c r="V67" s="92">
        <v>1.0</v>
      </c>
      <c r="W67" s="146">
        <f>IFERROR(__xludf.DUMMYFUNCTION("+T67"),1.0)</f>
        <v>1</v>
      </c>
      <c r="X67" s="92">
        <f>IFERROR(__xludf.DUMMYFUNCTION("+W67-R67"),0.0)</f>
        <v>0</v>
      </c>
      <c r="Y67" s="89"/>
    </row>
    <row r="68" ht="14.25" customHeight="1">
      <c r="B68" s="69">
        <v>1.8</v>
      </c>
      <c r="C68" s="91" t="s">
        <v>81</v>
      </c>
      <c r="D68" s="144"/>
      <c r="E68" s="144"/>
      <c r="L68" s="61"/>
      <c r="M68" s="62"/>
      <c r="N68" s="114"/>
      <c r="O68" s="115"/>
      <c r="P68" s="114"/>
      <c r="Q68" s="115"/>
      <c r="R68" s="114">
        <v>0.5</v>
      </c>
      <c r="S68" s="145"/>
      <c r="T68" s="92"/>
      <c r="U68" s="145">
        <v>0.675531914893617</v>
      </c>
      <c r="V68" s="92">
        <v>1.0</v>
      </c>
      <c r="W68" s="146">
        <f>IFERROR(__xludf.DUMMYFUNCTION("+V68"),1.0)</f>
        <v>1</v>
      </c>
      <c r="X68" s="92">
        <f>IFERROR(__xludf.DUMMYFUNCTION("+W68-R68"),0.5)</f>
        <v>0.5</v>
      </c>
      <c r="Y68" s="95"/>
    </row>
    <row r="69" ht="14.25" customHeight="1">
      <c r="B69" s="147">
        <v>1.9</v>
      </c>
      <c r="C69" s="91" t="s">
        <v>82</v>
      </c>
      <c r="D69" s="144"/>
      <c r="E69" s="144"/>
      <c r="L69" s="61"/>
      <c r="M69" s="62"/>
      <c r="N69" s="114"/>
      <c r="O69" s="115"/>
      <c r="P69" s="114"/>
      <c r="Q69" s="115"/>
      <c r="R69" s="114">
        <v>0.3</v>
      </c>
      <c r="S69" s="145">
        <v>0.3033</v>
      </c>
      <c r="T69" s="92">
        <v>0.2568</v>
      </c>
      <c r="U69" s="145">
        <v>0.24005681818181818</v>
      </c>
      <c r="V69" s="92">
        <v>0.2002</v>
      </c>
      <c r="W69" s="146">
        <f>AVERAGE(S69:V69)</f>
        <v>0.2500892045</v>
      </c>
      <c r="X69" s="92">
        <f>IFERROR(__xludf.DUMMYFUNCTION("+W69-R69"),-0.049910795454545465)</f>
        <v>-0.04991079545</v>
      </c>
      <c r="Y69" s="65"/>
    </row>
    <row r="70" ht="14.25" customHeight="1">
      <c r="B70" s="69"/>
      <c r="C70" s="91" t="s">
        <v>83</v>
      </c>
      <c r="D70" s="144"/>
      <c r="E70" s="144"/>
      <c r="L70" s="61"/>
      <c r="M70" s="62"/>
      <c r="N70" s="114"/>
      <c r="O70" s="115"/>
      <c r="P70" s="114"/>
      <c r="Q70" s="115">
        <v>0.8</v>
      </c>
      <c r="R70" s="114">
        <f>IFERROR(__xludf.DUMMYFUNCTION("+Q70"),0.8)</f>
        <v>0.8</v>
      </c>
      <c r="S70" s="145">
        <v>1.0</v>
      </c>
      <c r="T70" s="92">
        <v>1.0</v>
      </c>
      <c r="U70" s="145">
        <v>1.0</v>
      </c>
      <c r="V70" s="92">
        <v>1.0</v>
      </c>
      <c r="W70" s="146">
        <f>V70</f>
        <v>1</v>
      </c>
      <c r="X70" s="92">
        <f>IFERROR(__xludf.DUMMYFUNCTION("+W70-R70"),0.19999999999999996)</f>
        <v>0.2</v>
      </c>
      <c r="Y70" s="65"/>
    </row>
    <row r="71" ht="14.25" customHeight="1">
      <c r="B71" s="69"/>
      <c r="C71" s="70"/>
      <c r="D71" s="144"/>
      <c r="E71" s="144"/>
      <c r="L71" s="61"/>
      <c r="M71" s="62"/>
      <c r="N71" s="114"/>
      <c r="O71" s="115"/>
      <c r="P71" s="114"/>
      <c r="Q71" s="115"/>
      <c r="R71" s="114"/>
      <c r="S71" s="145"/>
      <c r="T71" s="92"/>
      <c r="U71" s="145"/>
      <c r="V71" s="92"/>
      <c r="W71" s="146"/>
      <c r="X71" s="92"/>
      <c r="Y71" s="65"/>
    </row>
    <row r="72" ht="14.25" customHeight="1">
      <c r="B72" s="148"/>
      <c r="C72" s="70"/>
      <c r="D72" s="77"/>
      <c r="E72" s="70"/>
      <c r="L72" s="61"/>
      <c r="M72" s="62"/>
      <c r="N72" s="63"/>
      <c r="O72" s="62"/>
      <c r="P72" s="63"/>
      <c r="Q72" s="62"/>
      <c r="R72" s="149"/>
      <c r="S72" s="68"/>
      <c r="T72" s="64"/>
      <c r="U72" s="117"/>
      <c r="V72" s="64"/>
      <c r="W72" s="89"/>
      <c r="X72" s="64"/>
      <c r="Y72" s="65"/>
    </row>
    <row r="73" ht="14.25" customHeight="1">
      <c r="B73" s="148" t="s">
        <v>84</v>
      </c>
      <c r="C73" s="70"/>
      <c r="D73" s="77"/>
      <c r="E73" s="70"/>
      <c r="L73" s="61"/>
      <c r="M73" s="62"/>
      <c r="N73" s="63"/>
      <c r="O73" s="62"/>
      <c r="P73" s="63"/>
      <c r="Q73" s="62"/>
      <c r="R73" s="149"/>
      <c r="S73" s="68"/>
      <c r="T73" s="64"/>
      <c r="U73" s="117"/>
      <c r="V73" s="64"/>
      <c r="W73" s="89"/>
      <c r="X73" s="64"/>
      <c r="Y73" s="65"/>
    </row>
    <row r="74" ht="14.25" customHeight="1">
      <c r="B74" s="148" t="s">
        <v>85</v>
      </c>
      <c r="C74" s="70"/>
      <c r="D74" s="77"/>
      <c r="E74" s="70"/>
      <c r="L74" s="61"/>
      <c r="M74" s="62"/>
      <c r="N74" s="63"/>
      <c r="O74" s="62"/>
      <c r="P74" s="63"/>
      <c r="Q74" s="62"/>
      <c r="R74" s="149"/>
      <c r="S74" s="68"/>
      <c r="T74" s="64"/>
      <c r="U74" s="117"/>
      <c r="V74" s="64"/>
      <c r="W74" s="89"/>
      <c r="X74" s="64"/>
      <c r="Y74" s="65"/>
    </row>
    <row r="75" ht="14.25" customHeight="1">
      <c r="B75" s="150" t="s">
        <v>86</v>
      </c>
      <c r="C75" s="151"/>
      <c r="D75" s="152"/>
      <c r="E75" s="151"/>
      <c r="F75" s="67"/>
      <c r="G75" s="67"/>
      <c r="L75" s="61"/>
      <c r="M75" s="62"/>
      <c r="N75" s="63"/>
      <c r="O75" s="62"/>
      <c r="P75" s="63"/>
      <c r="Q75" s="62"/>
      <c r="R75" s="149"/>
      <c r="S75" s="68"/>
      <c r="T75" s="64"/>
      <c r="U75" s="68"/>
      <c r="V75" s="64"/>
      <c r="W75" s="68"/>
      <c r="X75" s="64"/>
      <c r="Y75" s="65"/>
    </row>
    <row r="76" ht="14.25" customHeight="1">
      <c r="B76" s="148"/>
      <c r="C76" s="70"/>
      <c r="D76" s="77"/>
      <c r="E76" s="70"/>
      <c r="L76" s="61"/>
      <c r="M76" s="62"/>
      <c r="N76" s="63"/>
      <c r="O76" s="62"/>
      <c r="P76" s="63"/>
      <c r="Q76" s="62"/>
      <c r="R76" s="149"/>
      <c r="S76" s="68"/>
      <c r="T76" s="64"/>
      <c r="U76" s="68"/>
      <c r="V76" s="64"/>
      <c r="W76" s="68"/>
      <c r="X76" s="64"/>
      <c r="Y76" s="65"/>
    </row>
    <row r="77" ht="14.25" customHeight="1">
      <c r="B77" s="148" t="s">
        <v>87</v>
      </c>
      <c r="C77" s="70"/>
      <c r="D77" s="77"/>
      <c r="E77" s="70"/>
      <c r="L77" s="61"/>
      <c r="M77" s="62"/>
      <c r="N77" s="63"/>
      <c r="O77" s="62"/>
      <c r="P77" s="63"/>
      <c r="Q77" s="62"/>
      <c r="R77" s="149"/>
      <c r="S77" s="68"/>
      <c r="T77" s="64"/>
      <c r="U77" s="68"/>
      <c r="V77" s="64"/>
      <c r="W77" s="68"/>
      <c r="X77" s="64"/>
      <c r="Y77" s="65"/>
    </row>
    <row r="78" ht="14.25" customHeight="1">
      <c r="B78" s="69">
        <v>2.1</v>
      </c>
      <c r="C78" s="70" t="s">
        <v>88</v>
      </c>
      <c r="D78" s="144"/>
      <c r="L78" s="61"/>
      <c r="M78" s="62"/>
      <c r="N78" s="63"/>
      <c r="O78" s="62"/>
      <c r="P78" s="63"/>
      <c r="Q78" s="63"/>
      <c r="R78" s="153">
        <v>0.3</v>
      </c>
      <c r="S78" s="92">
        <v>0.1234</v>
      </c>
      <c r="T78" s="92">
        <v>0.215</v>
      </c>
      <c r="U78" s="92">
        <v>0.27411167512690354</v>
      </c>
      <c r="V78" s="64">
        <v>22.86</v>
      </c>
      <c r="W78" s="92">
        <v>0.5108</v>
      </c>
      <c r="X78" s="92">
        <f>W78-R78</f>
        <v>0.2108</v>
      </c>
      <c r="Y78" s="65"/>
    </row>
    <row r="79" ht="14.25" customHeight="1">
      <c r="B79" s="148" t="s">
        <v>49</v>
      </c>
      <c r="C79" s="70"/>
      <c r="D79" s="154"/>
      <c r="L79" s="61"/>
      <c r="M79" s="62"/>
      <c r="N79" s="63"/>
      <c r="O79" s="62"/>
      <c r="P79" s="63"/>
      <c r="Q79" s="63"/>
      <c r="R79" s="149"/>
      <c r="S79" s="64"/>
      <c r="T79" s="64"/>
      <c r="U79" s="64"/>
      <c r="V79" s="64"/>
      <c r="W79" s="64"/>
      <c r="X79" s="64"/>
      <c r="Y79" s="65"/>
    </row>
    <row r="80" ht="14.25" customHeight="1">
      <c r="B80" s="69">
        <v>2.1</v>
      </c>
      <c r="C80" s="91" t="s">
        <v>89</v>
      </c>
      <c r="D80" s="144"/>
      <c r="L80" s="61"/>
      <c r="M80" s="62"/>
      <c r="N80" s="63"/>
      <c r="O80" s="62"/>
      <c r="P80" s="63"/>
      <c r="Q80" s="63"/>
      <c r="R80" s="149"/>
      <c r="S80" s="64"/>
      <c r="T80" s="64"/>
      <c r="U80" s="64"/>
      <c r="V80" s="64"/>
      <c r="W80" s="64"/>
      <c r="X80" s="64"/>
      <c r="Y80" s="65"/>
    </row>
    <row r="81" ht="14.25" customHeight="1">
      <c r="B81" s="69"/>
      <c r="C81" s="91" t="s">
        <v>90</v>
      </c>
      <c r="D81" s="154"/>
      <c r="L81" s="61"/>
      <c r="M81" s="62"/>
      <c r="N81" s="64"/>
      <c r="O81" s="68"/>
      <c r="P81" s="64"/>
      <c r="Q81" s="64"/>
      <c r="R81" s="101">
        <v>60.0</v>
      </c>
      <c r="S81" s="64">
        <v>35.0</v>
      </c>
      <c r="T81" s="64">
        <v>35.0</v>
      </c>
      <c r="U81" s="64">
        <v>30.0</v>
      </c>
      <c r="V81" s="64">
        <v>23.0</v>
      </c>
      <c r="W81" s="64">
        <v>37.0</v>
      </c>
      <c r="X81" s="64">
        <f>IFERROR(__xludf.DUMMYFUNCTION("+W81-R81"),-23.0)</f>
        <v>-23</v>
      </c>
      <c r="Y81" s="65"/>
    </row>
    <row r="82" ht="14.25" customHeight="1">
      <c r="B82" s="69"/>
      <c r="C82" s="70" t="s">
        <v>91</v>
      </c>
      <c r="D82" s="154"/>
      <c r="L82" s="61"/>
      <c r="M82" s="62"/>
      <c r="N82" s="64"/>
      <c r="O82" s="68"/>
      <c r="P82" s="64"/>
      <c r="Q82" s="64"/>
      <c r="R82" s="101">
        <v>110.0</v>
      </c>
      <c r="S82" s="64">
        <v>109.0</v>
      </c>
      <c r="T82" s="64">
        <v>110.0</v>
      </c>
      <c r="U82" s="64">
        <v>87.0</v>
      </c>
      <c r="V82" s="64">
        <v>73.0</v>
      </c>
      <c r="W82" s="64">
        <v>145.0</v>
      </c>
      <c r="X82" s="64">
        <f>IFERROR(__xludf.DUMMYFUNCTION("+W82-R82"),35.0)</f>
        <v>35</v>
      </c>
      <c r="Y82" s="65"/>
    </row>
    <row r="83" ht="14.25" customHeight="1">
      <c r="B83" s="69"/>
      <c r="C83" s="70" t="s">
        <v>92</v>
      </c>
      <c r="D83" s="154"/>
      <c r="L83" s="61"/>
      <c r="M83" s="62"/>
      <c r="N83" s="64"/>
      <c r="O83" s="68"/>
      <c r="P83" s="64"/>
      <c r="Q83" s="64"/>
      <c r="R83" s="101">
        <v>85.0</v>
      </c>
      <c r="S83" s="64">
        <v>47.0</v>
      </c>
      <c r="T83" s="64">
        <v>48.0</v>
      </c>
      <c r="U83" s="64">
        <v>40.0</v>
      </c>
      <c r="V83" s="64">
        <v>41.0</v>
      </c>
      <c r="W83" s="64">
        <v>83.0</v>
      </c>
      <c r="X83" s="64">
        <f>IFERROR(__xludf.DUMMYFUNCTION("+W83-R83"),-2.0)</f>
        <v>-2</v>
      </c>
      <c r="Y83" s="65"/>
    </row>
    <row r="84" ht="14.25" customHeight="1">
      <c r="B84" s="69"/>
      <c r="C84" s="91" t="s">
        <v>93</v>
      </c>
      <c r="D84" s="154"/>
      <c r="L84" s="61"/>
      <c r="M84" s="62"/>
      <c r="N84" s="64"/>
      <c r="O84" s="68"/>
      <c r="P84" s="64"/>
      <c r="Q84" s="68"/>
      <c r="R84" s="101">
        <v>60.0</v>
      </c>
      <c r="S84" s="68">
        <v>44.0</v>
      </c>
      <c r="T84" s="64">
        <v>46.0</v>
      </c>
      <c r="U84" s="68">
        <v>40.0</v>
      </c>
      <c r="V84" s="64">
        <v>38.0</v>
      </c>
      <c r="W84" s="64">
        <v>60.0</v>
      </c>
      <c r="X84" s="64">
        <f>IFERROR(__xludf.DUMMYFUNCTION("+W84-R84"),0.0)</f>
        <v>0</v>
      </c>
      <c r="Y84" s="65"/>
    </row>
    <row r="85" ht="14.25" customHeight="1">
      <c r="B85" s="69">
        <v>2.3</v>
      </c>
      <c r="C85" s="91" t="s">
        <v>94</v>
      </c>
      <c r="D85" s="154"/>
      <c r="L85" s="61"/>
      <c r="M85" s="62"/>
      <c r="N85" s="63"/>
      <c r="O85" s="62"/>
      <c r="P85" s="63"/>
      <c r="Q85" s="62"/>
      <c r="R85" s="149"/>
      <c r="S85" s="68"/>
      <c r="T85" s="64"/>
      <c r="U85" s="68"/>
      <c r="V85" s="64"/>
      <c r="W85" s="68"/>
      <c r="X85" s="64"/>
      <c r="Y85" s="65"/>
    </row>
    <row r="86" ht="14.25" customHeight="1">
      <c r="B86" s="69"/>
      <c r="C86" s="91" t="s">
        <v>95</v>
      </c>
      <c r="D86" s="154"/>
      <c r="L86" s="61"/>
      <c r="M86" s="62"/>
      <c r="N86" s="63"/>
      <c r="O86" s="62"/>
      <c r="P86" s="63"/>
      <c r="Q86" s="62"/>
      <c r="R86" s="149"/>
      <c r="S86" s="68"/>
      <c r="T86" s="64"/>
      <c r="U86" s="68"/>
      <c r="V86" s="64"/>
      <c r="W86" s="68"/>
      <c r="X86" s="64"/>
      <c r="Y86" s="65"/>
    </row>
    <row r="87" ht="14.25" customHeight="1">
      <c r="B87" s="69"/>
      <c r="C87" s="70" t="s">
        <v>96</v>
      </c>
      <c r="D87" s="144"/>
      <c r="L87" s="61"/>
      <c r="M87" s="62"/>
      <c r="N87" s="63"/>
      <c r="O87" s="62"/>
      <c r="P87" s="63"/>
      <c r="Q87" s="62"/>
      <c r="R87" s="101">
        <v>318.0</v>
      </c>
      <c r="S87" s="155">
        <v>302.0</v>
      </c>
      <c r="T87" s="156">
        <v>302.0</v>
      </c>
      <c r="U87" s="156">
        <v>381.0</v>
      </c>
      <c r="V87" s="156">
        <v>615.0</v>
      </c>
      <c r="W87" s="157">
        <v>427.0</v>
      </c>
      <c r="X87" s="158">
        <f t="shared" ref="X87:X90" si="5">W87-R87</f>
        <v>109</v>
      </c>
      <c r="Y87" s="65"/>
    </row>
    <row r="88" ht="14.25" customHeight="1">
      <c r="B88" s="69"/>
      <c r="C88" s="70" t="s">
        <v>97</v>
      </c>
      <c r="D88" s="144"/>
      <c r="L88" s="61"/>
      <c r="M88" s="62"/>
      <c r="N88" s="63"/>
      <c r="O88" s="62"/>
      <c r="P88" s="63"/>
      <c r="Q88" s="62"/>
      <c r="R88" s="101">
        <v>330.0</v>
      </c>
      <c r="S88" s="159">
        <v>240.133</v>
      </c>
      <c r="T88" s="156">
        <v>264.72</v>
      </c>
      <c r="U88" s="156">
        <v>309.64</v>
      </c>
      <c r="V88" s="156">
        <v>329.68</v>
      </c>
      <c r="W88" s="157">
        <v>306.03</v>
      </c>
      <c r="X88" s="158">
        <f t="shared" si="5"/>
        <v>-23.97</v>
      </c>
      <c r="Y88" s="65"/>
    </row>
    <row r="89" ht="14.25" customHeight="1">
      <c r="B89" s="69"/>
      <c r="C89" s="70" t="s">
        <v>98</v>
      </c>
      <c r="D89" s="154"/>
      <c r="L89" s="61"/>
      <c r="M89" s="62"/>
      <c r="N89" s="63"/>
      <c r="O89" s="62"/>
      <c r="P89" s="63"/>
      <c r="Q89" s="62"/>
      <c r="R89" s="101">
        <v>180.0</v>
      </c>
      <c r="S89" s="155">
        <v>269.5</v>
      </c>
      <c r="T89" s="156">
        <v>290.93</v>
      </c>
      <c r="U89" s="156">
        <v>250.39</v>
      </c>
      <c r="V89" s="156">
        <v>337.42</v>
      </c>
      <c r="W89" s="157">
        <v>406.6</v>
      </c>
      <c r="X89" s="158">
        <f t="shared" si="5"/>
        <v>226.6</v>
      </c>
      <c r="Y89" s="65"/>
    </row>
    <row r="90" ht="14.25" customHeight="1">
      <c r="B90" s="69"/>
      <c r="C90" s="70" t="s">
        <v>99</v>
      </c>
      <c r="D90" s="154"/>
      <c r="L90" s="61"/>
      <c r="M90" s="62"/>
      <c r="N90" s="63"/>
      <c r="O90" s="62"/>
      <c r="P90" s="63"/>
      <c r="Q90" s="62"/>
      <c r="R90" s="101">
        <v>180.0</v>
      </c>
      <c r="S90" s="155">
        <v>308.45</v>
      </c>
      <c r="T90" s="156">
        <v>308.45</v>
      </c>
      <c r="U90" s="156">
        <v>424.0</v>
      </c>
      <c r="V90" s="156">
        <v>424.0</v>
      </c>
      <c r="W90" s="157">
        <v>354.4</v>
      </c>
      <c r="X90" s="158">
        <f t="shared" si="5"/>
        <v>174.4</v>
      </c>
      <c r="Y90" s="65"/>
    </row>
    <row r="91" ht="14.25" customHeight="1">
      <c r="B91" s="69"/>
      <c r="C91" s="91" t="s">
        <v>100</v>
      </c>
      <c r="D91" s="154"/>
      <c r="L91" s="61"/>
      <c r="M91" s="62"/>
      <c r="N91" s="63"/>
      <c r="O91" s="62"/>
      <c r="P91" s="63"/>
      <c r="Q91" s="62"/>
      <c r="R91" s="149"/>
      <c r="S91" s="160"/>
      <c r="T91" s="158"/>
      <c r="U91" s="156"/>
      <c r="V91" s="158"/>
      <c r="W91" s="160"/>
      <c r="X91" s="64"/>
      <c r="Y91" s="65"/>
    </row>
    <row r="92" ht="14.25" customHeight="1">
      <c r="B92" s="69"/>
      <c r="C92" s="70" t="s">
        <v>101</v>
      </c>
      <c r="D92" s="144"/>
      <c r="L92" s="61"/>
      <c r="M92" s="62"/>
      <c r="N92" s="63"/>
      <c r="O92" s="62"/>
      <c r="P92" s="63"/>
      <c r="Q92" s="62"/>
      <c r="R92" s="101"/>
      <c r="S92" s="155">
        <v>319.0</v>
      </c>
      <c r="T92" s="156">
        <v>319.0</v>
      </c>
      <c r="U92" s="156">
        <v>3040.0</v>
      </c>
      <c r="V92" s="156">
        <v>2260.0</v>
      </c>
      <c r="W92" s="157">
        <v>2738.0</v>
      </c>
      <c r="X92" s="64"/>
      <c r="Y92" s="65"/>
    </row>
    <row r="93" ht="14.25" customHeight="1">
      <c r="B93" s="69"/>
      <c r="C93" s="70" t="s">
        <v>102</v>
      </c>
      <c r="D93" s="144"/>
      <c r="L93" s="61"/>
      <c r="M93" s="62"/>
      <c r="N93" s="63"/>
      <c r="O93" s="62"/>
      <c r="P93" s="63"/>
      <c r="Q93" s="62"/>
      <c r="R93" s="101"/>
      <c r="S93" s="159">
        <v>73.266</v>
      </c>
      <c r="T93" s="156">
        <v>76.823</v>
      </c>
      <c r="U93" s="156">
        <v>244.79</v>
      </c>
      <c r="V93" s="156">
        <v>353.14</v>
      </c>
      <c r="W93" s="157">
        <v>396.28</v>
      </c>
      <c r="X93" s="64"/>
      <c r="Y93" s="65"/>
    </row>
    <row r="94" ht="14.25" customHeight="1">
      <c r="B94" s="69"/>
      <c r="C94" s="70" t="s">
        <v>103</v>
      </c>
      <c r="D94" s="154"/>
      <c r="L94" s="61"/>
      <c r="M94" s="62"/>
      <c r="N94" s="63"/>
      <c r="O94" s="62"/>
      <c r="P94" s="63"/>
      <c r="Q94" s="62"/>
      <c r="R94" s="101"/>
      <c r="S94" s="155">
        <v>442.25</v>
      </c>
      <c r="T94" s="156">
        <v>1818.625</v>
      </c>
      <c r="U94" s="156">
        <v>166.125</v>
      </c>
      <c r="V94" s="156">
        <v>112.74</v>
      </c>
      <c r="W94" s="157">
        <v>248.0</v>
      </c>
      <c r="X94" s="64"/>
      <c r="Y94" s="65"/>
    </row>
    <row r="95" ht="14.25" customHeight="1">
      <c r="B95" s="69"/>
      <c r="C95" s="70" t="s">
        <v>104</v>
      </c>
      <c r="D95" s="154"/>
      <c r="L95" s="61"/>
      <c r="M95" s="62"/>
      <c r="N95" s="63"/>
      <c r="O95" s="62"/>
      <c r="P95" s="63"/>
      <c r="Q95" s="62"/>
      <c r="R95" s="101"/>
      <c r="S95" s="161">
        <v>259.54</v>
      </c>
      <c r="T95" s="162">
        <v>924.52</v>
      </c>
      <c r="U95" s="156">
        <v>627.0</v>
      </c>
      <c r="V95" s="162">
        <v>627.0</v>
      </c>
      <c r="W95" s="157">
        <v>429.76</v>
      </c>
      <c r="X95" s="64"/>
      <c r="Y95" s="65"/>
    </row>
    <row r="96" ht="14.25" customHeight="1">
      <c r="B96" s="69">
        <v>2.4</v>
      </c>
      <c r="C96" s="91" t="s">
        <v>105</v>
      </c>
      <c r="D96" s="144"/>
      <c r="L96" s="61"/>
      <c r="M96" s="62"/>
      <c r="N96" s="114">
        <v>1.0</v>
      </c>
      <c r="O96" s="115">
        <v>1.0</v>
      </c>
      <c r="P96" s="114">
        <v>1.0</v>
      </c>
      <c r="Q96" s="115">
        <v>1.0</v>
      </c>
      <c r="R96" s="163">
        <v>1.0</v>
      </c>
      <c r="S96" s="115">
        <v>1.0</v>
      </c>
      <c r="T96" s="114">
        <v>1.0</v>
      </c>
      <c r="U96" s="114">
        <v>1.0</v>
      </c>
      <c r="V96" s="114">
        <v>1.0</v>
      </c>
      <c r="W96" s="115">
        <f>IFERROR(__xludf.DUMMYFUNCTION("+S96"),1.0)</f>
        <v>1</v>
      </c>
      <c r="X96" s="64"/>
      <c r="Y96" s="65"/>
    </row>
    <row r="97" ht="14.25" customHeight="1">
      <c r="B97" s="69">
        <v>2.5</v>
      </c>
      <c r="C97" s="70" t="s">
        <v>106</v>
      </c>
      <c r="D97" s="154"/>
      <c r="L97" s="61"/>
      <c r="M97" s="62"/>
      <c r="N97" s="164" t="s">
        <v>107</v>
      </c>
      <c r="O97" s="164" t="s">
        <v>107</v>
      </c>
      <c r="P97" s="164" t="s">
        <v>107</v>
      </c>
      <c r="Q97" s="164" t="s">
        <v>107</v>
      </c>
      <c r="R97" s="164" t="s">
        <v>107</v>
      </c>
      <c r="S97" s="164" t="s">
        <v>107</v>
      </c>
      <c r="T97" s="165" t="s">
        <v>107</v>
      </c>
      <c r="U97" s="164" t="s">
        <v>107</v>
      </c>
      <c r="V97" s="164" t="s">
        <v>107</v>
      </c>
      <c r="W97" s="166" t="s">
        <v>107</v>
      </c>
      <c r="X97" s="114">
        <v>0.0</v>
      </c>
      <c r="Y97" s="65"/>
    </row>
    <row r="98" ht="14.25" customHeight="1">
      <c r="B98" s="150" t="s">
        <v>108</v>
      </c>
      <c r="C98" s="151"/>
      <c r="D98" s="167"/>
      <c r="E98" s="67"/>
      <c r="L98" s="61"/>
      <c r="M98" s="62"/>
      <c r="N98" s="63"/>
      <c r="O98" s="62"/>
      <c r="P98" s="63"/>
      <c r="Q98" s="62"/>
      <c r="R98" s="149"/>
      <c r="S98" s="68"/>
      <c r="T98" s="64"/>
      <c r="U98" s="68"/>
      <c r="V98" s="64"/>
      <c r="W98" s="68"/>
      <c r="X98" s="64"/>
      <c r="Y98" s="65"/>
    </row>
    <row r="99" ht="14.25" customHeight="1">
      <c r="B99" s="148" t="s">
        <v>28</v>
      </c>
      <c r="C99" s="70"/>
      <c r="D99" s="154"/>
      <c r="L99" s="61"/>
      <c r="M99" s="62"/>
      <c r="N99" s="63"/>
      <c r="O99" s="62"/>
      <c r="P99" s="63"/>
      <c r="Q99" s="62"/>
      <c r="R99" s="149"/>
      <c r="S99" s="68"/>
      <c r="T99" s="64"/>
      <c r="U99" s="68"/>
      <c r="V99" s="64"/>
      <c r="W99" s="68"/>
      <c r="X99" s="64"/>
      <c r="Y99" s="65"/>
    </row>
    <row r="100" ht="14.25" customHeight="1">
      <c r="B100" s="69">
        <v>2.2</v>
      </c>
      <c r="C100" s="70" t="s">
        <v>109</v>
      </c>
      <c r="D100" s="154"/>
      <c r="L100" s="61"/>
      <c r="M100" s="62"/>
      <c r="N100" s="63"/>
      <c r="O100" s="63"/>
      <c r="P100" s="63"/>
      <c r="Q100" s="63"/>
      <c r="R100" s="149"/>
      <c r="S100" s="64"/>
      <c r="T100" s="92">
        <v>0.1061</v>
      </c>
      <c r="U100" s="92">
        <v>0.1061</v>
      </c>
      <c r="V100" s="92">
        <v>0.1061</v>
      </c>
      <c r="W100" s="92">
        <f>IFERROR(__xludf.DUMMYFUNCTION("+U100"),0.1061)</f>
        <v>0.1061</v>
      </c>
      <c r="X100" s="64"/>
      <c r="Y100" s="64" t="s">
        <v>110</v>
      </c>
    </row>
    <row r="101" ht="15.0" hidden="1" customHeight="1">
      <c r="B101" s="69"/>
      <c r="C101" s="91" t="s">
        <v>111</v>
      </c>
      <c r="D101" s="168"/>
      <c r="E101" s="168"/>
      <c r="L101" s="61"/>
      <c r="M101" s="62"/>
      <c r="N101" s="101"/>
      <c r="O101" s="169"/>
      <c r="P101" s="169">
        <v>0.1</v>
      </c>
      <c r="Q101" s="169">
        <v>0.1</v>
      </c>
      <c r="R101" s="169">
        <v>0.1</v>
      </c>
      <c r="S101" s="64"/>
      <c r="T101" s="170"/>
      <c r="U101" s="64"/>
      <c r="V101" s="64"/>
      <c r="W101" s="171" t="str">
        <f>IFERROR(__xludf.DUMMYFUNCTION("+T101"),"")</f>
        <v/>
      </c>
      <c r="X101" s="92">
        <f>IFERROR(__xludf.DUMMYFUNCTION("+W101-R101"),-0.1)</f>
        <v>-0.1</v>
      </c>
      <c r="Y101" s="76" t="s">
        <v>110</v>
      </c>
    </row>
    <row r="102" ht="15.0" hidden="1" customHeight="1">
      <c r="B102" s="69"/>
      <c r="C102" s="91" t="s">
        <v>112</v>
      </c>
      <c r="D102" s="70"/>
      <c r="E102" s="70"/>
      <c r="F102" s="70"/>
      <c r="L102" s="61"/>
      <c r="M102" s="62"/>
      <c r="N102" s="101"/>
      <c r="O102" s="169"/>
      <c r="P102" s="169">
        <v>0.8</v>
      </c>
      <c r="Q102" s="169">
        <v>0.8</v>
      </c>
      <c r="R102" s="169">
        <v>0.8</v>
      </c>
      <c r="S102" s="64"/>
      <c r="T102" s="170"/>
      <c r="U102" s="64"/>
      <c r="V102" s="64"/>
      <c r="W102" s="171" t="str">
        <f>IFERROR(__xludf.DUMMYFUNCTION("+T102"),"")</f>
        <v/>
      </c>
      <c r="X102" s="92">
        <f>IFERROR(__xludf.DUMMYFUNCTION("+W102-R102"),-0.8)</f>
        <v>-0.8</v>
      </c>
      <c r="Y102" s="40"/>
    </row>
    <row r="103" ht="15.0" customHeight="1">
      <c r="B103" s="69">
        <v>2.3</v>
      </c>
      <c r="C103" s="91" t="s">
        <v>113</v>
      </c>
      <c r="D103" s="70"/>
      <c r="E103" s="70"/>
      <c r="F103" s="70"/>
      <c r="L103" s="61"/>
      <c r="M103" s="62"/>
      <c r="N103" s="117" t="s">
        <v>114</v>
      </c>
      <c r="O103" s="172"/>
      <c r="P103" s="172"/>
      <c r="Q103" s="173"/>
      <c r="R103" s="169">
        <v>0.5</v>
      </c>
      <c r="S103" s="64"/>
      <c r="T103" s="92">
        <v>1.13</v>
      </c>
      <c r="U103" s="92">
        <v>0.9817</v>
      </c>
      <c r="V103" s="92">
        <v>0.9817</v>
      </c>
      <c r="W103" s="92">
        <f>IFERROR(__xludf.DUMMYFUNCTION("+U103"),0.9817)</f>
        <v>0.9817</v>
      </c>
      <c r="X103" s="92">
        <f>IFERROR(__xludf.DUMMYFUNCTION("+W103-R103"),0.4817)</f>
        <v>0.4817</v>
      </c>
      <c r="Y103" s="90"/>
    </row>
    <row r="104" ht="15.0" customHeight="1">
      <c r="B104" s="148" t="s">
        <v>115</v>
      </c>
      <c r="C104" s="70"/>
      <c r="D104" s="70"/>
      <c r="E104" s="70"/>
      <c r="F104" s="70"/>
      <c r="L104" s="61"/>
      <c r="M104" s="62"/>
      <c r="N104" s="63"/>
      <c r="O104" s="63"/>
      <c r="P104" s="63"/>
      <c r="Q104" s="63"/>
      <c r="R104" s="63"/>
      <c r="S104" s="64"/>
      <c r="T104" s="64"/>
      <c r="U104" s="64"/>
      <c r="V104" s="64"/>
      <c r="W104" s="64"/>
      <c r="X104" s="64"/>
      <c r="Y104" s="63"/>
    </row>
    <row r="105" ht="15.0" customHeight="1">
      <c r="B105" s="174">
        <v>2.6</v>
      </c>
      <c r="C105" s="175" t="s">
        <v>116</v>
      </c>
      <c r="D105" s="70"/>
      <c r="E105" s="70"/>
      <c r="F105" s="70"/>
      <c r="L105" s="61"/>
      <c r="M105" s="62"/>
      <c r="N105" s="176"/>
      <c r="O105" s="98"/>
      <c r="P105" s="98"/>
      <c r="Q105" s="98"/>
      <c r="R105" s="98"/>
      <c r="S105" s="98"/>
      <c r="T105" s="98"/>
      <c r="U105" s="98"/>
      <c r="V105" s="98"/>
      <c r="W105" s="98"/>
      <c r="X105" s="98"/>
      <c r="Y105" s="177"/>
    </row>
    <row r="106" ht="14.25" customHeight="1">
      <c r="A106" s="105"/>
      <c r="B106" s="96"/>
      <c r="C106" s="178" t="s">
        <v>117</v>
      </c>
      <c r="D106" s="97"/>
      <c r="E106" s="97"/>
      <c r="F106" s="97"/>
      <c r="G106" s="105"/>
      <c r="H106" s="105"/>
      <c r="I106" s="105"/>
      <c r="J106" s="105"/>
      <c r="K106" s="105"/>
      <c r="L106" s="107"/>
      <c r="M106" s="108"/>
      <c r="N106" s="98">
        <v>153513.0</v>
      </c>
      <c r="O106" s="98">
        <v>153513.0</v>
      </c>
      <c r="P106" s="98">
        <v>153513.0</v>
      </c>
      <c r="Q106" s="98">
        <v>153513.0</v>
      </c>
      <c r="R106" s="98">
        <v>153513.0</v>
      </c>
      <c r="S106" s="98">
        <v>157581.0</v>
      </c>
      <c r="T106" s="98">
        <v>157837.0</v>
      </c>
      <c r="U106" s="98"/>
      <c r="V106" s="98"/>
      <c r="W106" s="98">
        <f>IFERROR(__xludf.DUMMYFUNCTION("+T106"),157837.0)</f>
        <v>157837</v>
      </c>
      <c r="X106" s="98">
        <f>IFERROR(__xludf.DUMMYFUNCTION("+W106-R106"),4324.0)</f>
        <v>4324</v>
      </c>
      <c r="Y106" s="102"/>
      <c r="Z106" s="105"/>
      <c r="AA106" s="105"/>
      <c r="AB106" s="105"/>
      <c r="AC106" s="105"/>
      <c r="AD106" s="105"/>
      <c r="AE106" s="105"/>
    </row>
    <row r="107" ht="14.25" customHeight="1">
      <c r="A107" s="105"/>
      <c r="B107" s="96"/>
      <c r="C107" s="178" t="s">
        <v>118</v>
      </c>
      <c r="D107" s="97"/>
      <c r="E107" s="97"/>
      <c r="F107" s="97"/>
      <c r="G107" s="105"/>
      <c r="H107" s="105"/>
      <c r="I107" s="105"/>
      <c r="J107" s="105"/>
      <c r="K107" s="105"/>
      <c r="L107" s="107"/>
      <c r="M107" s="108"/>
      <c r="N107" s="98">
        <v>153514.0</v>
      </c>
      <c r="O107" s="98">
        <v>153514.0</v>
      </c>
      <c r="P107" s="98">
        <v>153514.0</v>
      </c>
      <c r="Q107" s="98">
        <v>153514.0</v>
      </c>
      <c r="R107" s="98">
        <v>153514.0</v>
      </c>
      <c r="S107" s="98"/>
      <c r="T107" s="139"/>
      <c r="U107" s="98">
        <v>80892.0</v>
      </c>
      <c r="V107" s="98">
        <v>153514.0</v>
      </c>
      <c r="W107" s="98">
        <f>IFERROR(__xludf.DUMMYFUNCTION("+V107"),153514.0)</f>
        <v>153514</v>
      </c>
      <c r="X107" s="98"/>
      <c r="Y107" s="102"/>
      <c r="Z107" s="105"/>
      <c r="AA107" s="105"/>
      <c r="AB107" s="105"/>
      <c r="AC107" s="105"/>
      <c r="AD107" s="105"/>
      <c r="AE107" s="105"/>
    </row>
    <row r="108" ht="15.0" customHeight="1">
      <c r="B108" s="150" t="s">
        <v>119</v>
      </c>
      <c r="C108" s="179"/>
      <c r="D108" s="151"/>
      <c r="E108" s="151"/>
      <c r="F108" s="151"/>
      <c r="G108" s="67"/>
      <c r="L108" s="61"/>
      <c r="M108" s="62"/>
      <c r="N108" s="63"/>
      <c r="O108" s="63"/>
      <c r="P108" s="63"/>
      <c r="Q108" s="63"/>
      <c r="R108" s="63"/>
      <c r="S108" s="64"/>
      <c r="T108" s="64"/>
      <c r="U108" s="64"/>
      <c r="V108" s="64"/>
      <c r="W108" s="64"/>
      <c r="X108" s="64"/>
      <c r="Y108" s="63"/>
    </row>
    <row r="109" ht="15.0" customHeight="1">
      <c r="B109" s="148" t="s">
        <v>87</v>
      </c>
      <c r="C109" s="144"/>
      <c r="D109" s="70"/>
      <c r="E109" s="70"/>
      <c r="F109" s="70"/>
      <c r="L109" s="61"/>
      <c r="M109" s="62"/>
      <c r="N109" s="63"/>
      <c r="O109" s="63"/>
      <c r="P109" s="63"/>
      <c r="Q109" s="63"/>
      <c r="R109" s="63"/>
      <c r="S109" s="64"/>
      <c r="T109" s="64"/>
      <c r="U109" s="64"/>
      <c r="V109" s="64"/>
      <c r="W109" s="64"/>
      <c r="X109" s="64"/>
      <c r="Y109" s="63"/>
    </row>
    <row r="110" ht="14.25" customHeight="1">
      <c r="B110" s="148">
        <v>2.4</v>
      </c>
      <c r="C110" s="91" t="s">
        <v>120</v>
      </c>
      <c r="D110" s="70"/>
      <c r="E110" s="70"/>
      <c r="F110" s="70"/>
      <c r="L110" s="61"/>
      <c r="M110" s="62"/>
      <c r="N110" s="180"/>
      <c r="O110" s="180"/>
      <c r="P110" s="180"/>
      <c r="Q110" s="180"/>
      <c r="R110" s="180"/>
      <c r="S110" s="114"/>
      <c r="T110" s="114"/>
      <c r="U110" s="64"/>
      <c r="V110" s="64"/>
      <c r="W110" s="114" t="str">
        <f>IFERROR(__xludf.DUMMYFUNCTION("+T110"),"")</f>
        <v/>
      </c>
      <c r="X110" s="64"/>
      <c r="Y110" s="101" t="s">
        <v>121</v>
      </c>
    </row>
    <row r="111" ht="14.25" customHeight="1">
      <c r="B111" s="148" t="s">
        <v>49</v>
      </c>
      <c r="C111" s="70"/>
      <c r="D111" s="70"/>
      <c r="E111" s="77"/>
      <c r="F111" s="70"/>
      <c r="L111" s="61"/>
      <c r="M111" s="62"/>
      <c r="N111" s="63"/>
      <c r="O111" s="63"/>
      <c r="P111" s="63"/>
      <c r="Q111" s="63"/>
      <c r="R111" s="63"/>
      <c r="S111" s="64"/>
      <c r="T111" s="64"/>
      <c r="U111" s="64"/>
      <c r="V111" s="64"/>
      <c r="W111" s="64"/>
      <c r="X111" s="64"/>
      <c r="Y111" s="78"/>
    </row>
    <row r="112" ht="14.25" customHeight="1">
      <c r="A112" s="105"/>
      <c r="B112" s="181">
        <v>2.8</v>
      </c>
      <c r="C112" s="97" t="s">
        <v>122</v>
      </c>
      <c r="D112" s="97"/>
      <c r="E112" s="126"/>
      <c r="F112" s="97"/>
      <c r="G112" s="105"/>
      <c r="H112" s="105"/>
      <c r="I112" s="105"/>
      <c r="J112" s="105"/>
      <c r="K112" s="105"/>
      <c r="L112" s="107"/>
      <c r="M112" s="108"/>
      <c r="N112" s="98">
        <v>205453.0</v>
      </c>
      <c r="O112" s="98">
        <v>205453.0</v>
      </c>
      <c r="P112" s="98">
        <v>205453.0</v>
      </c>
      <c r="Q112" s="98">
        <v>205453.0</v>
      </c>
      <c r="R112" s="98">
        <v>205453.0</v>
      </c>
      <c r="S112" s="98"/>
      <c r="T112" s="98">
        <v>121029.0</v>
      </c>
      <c r="U112" s="98">
        <v>29944.0</v>
      </c>
      <c r="V112" s="98">
        <v>198868.0</v>
      </c>
      <c r="W112" s="98">
        <v>196831.0</v>
      </c>
      <c r="X112" s="98">
        <f>IFERROR(__xludf.DUMMYFUNCTION("+W112-R112"),-8622.0)</f>
        <v>-8622</v>
      </c>
      <c r="Y112" s="101" t="s">
        <v>123</v>
      </c>
      <c r="Z112" s="105"/>
      <c r="AA112" s="105"/>
      <c r="AB112" s="105"/>
      <c r="AC112" s="105"/>
      <c r="AD112" s="105"/>
      <c r="AE112" s="105"/>
    </row>
    <row r="113" ht="14.25" customHeight="1">
      <c r="B113" s="181">
        <v>2.1</v>
      </c>
      <c r="C113" s="97" t="s">
        <v>124</v>
      </c>
      <c r="D113" s="70"/>
      <c r="E113" s="77"/>
      <c r="L113" s="61"/>
      <c r="M113" s="62"/>
      <c r="N113" s="63"/>
      <c r="O113" s="62"/>
      <c r="P113" s="63"/>
      <c r="Q113" s="62"/>
      <c r="R113" s="139">
        <v>15.0</v>
      </c>
      <c r="S113" s="140"/>
      <c r="T113" s="139">
        <v>9.0</v>
      </c>
      <c r="U113" s="140">
        <v>15.0</v>
      </c>
      <c r="V113" s="139">
        <v>25.0</v>
      </c>
      <c r="W113" s="140">
        <v>25.0</v>
      </c>
      <c r="X113" s="98">
        <f>IFERROR(__xludf.DUMMYFUNCTION("+W113-R113"),10.0)</f>
        <v>10</v>
      </c>
      <c r="Y113" s="99"/>
    </row>
    <row r="114" ht="14.25" customHeight="1">
      <c r="B114" s="150" t="s">
        <v>125</v>
      </c>
      <c r="C114" s="151"/>
      <c r="D114" s="151"/>
      <c r="E114" s="151"/>
      <c r="F114" s="67"/>
      <c r="G114" s="67"/>
      <c r="H114" s="67"/>
      <c r="I114" s="67"/>
      <c r="J114" s="67"/>
      <c r="K114" s="67"/>
      <c r="L114" s="182"/>
      <c r="M114" s="62"/>
      <c r="N114" s="63"/>
      <c r="O114" s="62"/>
      <c r="P114" s="63"/>
      <c r="Q114" s="62"/>
      <c r="R114" s="63"/>
      <c r="S114" s="68"/>
      <c r="T114" s="64"/>
      <c r="U114" s="68"/>
      <c r="V114" s="64"/>
      <c r="W114" s="68"/>
      <c r="X114" s="64"/>
      <c r="Y114" s="65"/>
    </row>
    <row r="115" ht="14.25" customHeight="1">
      <c r="B115" s="148" t="s">
        <v>87</v>
      </c>
      <c r="C115" s="70"/>
      <c r="D115" s="144"/>
      <c r="E115" s="183"/>
      <c r="F115" s="184"/>
      <c r="G115" s="184"/>
      <c r="H115" s="184"/>
      <c r="I115" s="184"/>
      <c r="J115" s="184"/>
      <c r="L115" s="61"/>
      <c r="M115" s="62"/>
      <c r="N115" s="64"/>
      <c r="O115" s="68"/>
      <c r="P115" s="64"/>
      <c r="Q115" s="68"/>
      <c r="R115" s="64"/>
      <c r="S115" s="68"/>
      <c r="T115" s="64"/>
      <c r="U115" s="68"/>
      <c r="V115" s="64"/>
      <c r="W115" s="68"/>
      <c r="X115" s="73"/>
      <c r="Y115" s="65"/>
    </row>
    <row r="116" ht="37.5" customHeight="1">
      <c r="A116" s="105"/>
      <c r="B116" s="96">
        <v>2.5</v>
      </c>
      <c r="C116" s="185" t="s">
        <v>126</v>
      </c>
      <c r="D116" s="186"/>
      <c r="E116" s="186"/>
      <c r="F116" s="105"/>
      <c r="G116" s="105"/>
      <c r="H116" s="105"/>
      <c r="I116" s="105"/>
      <c r="J116" s="105"/>
      <c r="K116" s="105"/>
      <c r="L116" s="107"/>
      <c r="M116" s="108"/>
      <c r="N116" s="78"/>
      <c r="O116" s="108"/>
      <c r="P116" s="78"/>
      <c r="Q116" s="108"/>
      <c r="R116" s="169">
        <v>0.9</v>
      </c>
      <c r="S116" s="140"/>
      <c r="T116" s="93">
        <v>1.0</v>
      </c>
      <c r="U116" s="140"/>
      <c r="V116" s="139"/>
      <c r="W116" s="187">
        <f>IFERROR(__xludf.DUMMYFUNCTION("+T116"),1.0)</f>
        <v>1</v>
      </c>
      <c r="X116" s="93">
        <f>IFERROR(__xludf.DUMMYFUNCTION("+W116-R116"),0.09999999999999998)</f>
        <v>0.1</v>
      </c>
      <c r="Y116" s="99"/>
      <c r="Z116" s="105"/>
      <c r="AA116" s="105"/>
      <c r="AB116" s="105"/>
      <c r="AC116" s="105"/>
      <c r="AD116" s="105"/>
      <c r="AE116" s="105"/>
    </row>
    <row r="117" ht="87.75" customHeight="1">
      <c r="B117" s="69"/>
      <c r="C117" s="185" t="s">
        <v>127</v>
      </c>
      <c r="D117" s="186"/>
      <c r="E117" s="186"/>
      <c r="F117" s="184"/>
      <c r="G117" s="184"/>
      <c r="H117" s="184"/>
      <c r="I117" s="184"/>
      <c r="J117" s="184"/>
      <c r="L117" s="61"/>
      <c r="M117" s="62"/>
      <c r="N117" s="63"/>
      <c r="O117" s="62"/>
      <c r="P117" s="63"/>
      <c r="Q117" s="62"/>
      <c r="R117" s="114"/>
      <c r="S117" s="68"/>
      <c r="T117" s="92"/>
      <c r="U117" s="188" t="s">
        <v>128</v>
      </c>
      <c r="V117" s="64"/>
      <c r="W117" s="189" t="str">
        <f>IFERROR(__xludf.DUMMYFUNCTION("+U117"),"100%
(5/5)")</f>
        <v>100%
(5/5)</v>
      </c>
      <c r="X117" s="92"/>
      <c r="Y117" s="99" t="s">
        <v>129</v>
      </c>
    </row>
    <row r="118" ht="14.25" customHeight="1">
      <c r="B118" s="148" t="s">
        <v>49</v>
      </c>
      <c r="C118" s="70"/>
      <c r="D118" s="183"/>
      <c r="E118" s="184"/>
      <c r="F118" s="184"/>
      <c r="G118" s="184"/>
      <c r="H118" s="184"/>
      <c r="I118" s="184"/>
      <c r="J118" s="184"/>
      <c r="L118" s="61"/>
      <c r="M118" s="62"/>
      <c r="N118" s="63"/>
      <c r="O118" s="62"/>
      <c r="P118" s="63"/>
      <c r="Q118" s="62"/>
      <c r="R118" s="63"/>
      <c r="S118" s="68"/>
      <c r="T118" s="64"/>
      <c r="U118" s="68"/>
      <c r="V118" s="64"/>
      <c r="W118" s="68"/>
      <c r="X118" s="64"/>
      <c r="Y118" s="65"/>
    </row>
    <row r="119" ht="14.25" customHeight="1">
      <c r="B119" s="69">
        <v>2.11</v>
      </c>
      <c r="C119" s="70" t="s">
        <v>130</v>
      </c>
      <c r="D119" s="154"/>
      <c r="L119" s="61"/>
      <c r="M119" s="62"/>
      <c r="N119" s="63"/>
      <c r="O119" s="62"/>
      <c r="P119" s="63"/>
      <c r="Q119" s="62"/>
      <c r="R119" s="83" t="s">
        <v>131</v>
      </c>
      <c r="S119" s="68"/>
      <c r="T119" s="64"/>
      <c r="U119" s="68"/>
      <c r="V119" s="64"/>
      <c r="W119" s="68">
        <f>SUM(W121:W129)</f>
        <v>92661</v>
      </c>
      <c r="X119" s="190"/>
      <c r="Y119" s="149"/>
    </row>
    <row r="120" ht="14.25" customHeight="1">
      <c r="B120" s="69"/>
      <c r="C120" s="144" t="s">
        <v>132</v>
      </c>
      <c r="D120" s="154"/>
      <c r="L120" s="61"/>
      <c r="M120" s="62"/>
      <c r="N120" s="63"/>
      <c r="O120" s="62"/>
      <c r="P120" s="63"/>
      <c r="Q120" s="62"/>
      <c r="R120" s="83"/>
      <c r="S120" s="68"/>
      <c r="T120" s="64"/>
      <c r="U120" s="68"/>
      <c r="V120" s="64"/>
      <c r="W120" s="68"/>
      <c r="X120" s="190"/>
      <c r="Y120" s="149"/>
    </row>
    <row r="121" ht="14.25" customHeight="1">
      <c r="B121" s="69"/>
      <c r="C121" s="77" t="s">
        <v>133</v>
      </c>
      <c r="D121" s="154"/>
      <c r="L121" s="61"/>
      <c r="M121" s="62"/>
      <c r="N121" s="63"/>
      <c r="O121" s="62"/>
      <c r="P121" s="63"/>
      <c r="Q121" s="62"/>
      <c r="R121" s="83"/>
      <c r="S121" s="68">
        <v>1897.0</v>
      </c>
      <c r="T121" s="64">
        <v>5883.0</v>
      </c>
      <c r="U121" s="68">
        <v>5651.0</v>
      </c>
      <c r="V121" s="64">
        <v>4639.0</v>
      </c>
      <c r="W121" s="68">
        <f t="shared" ref="W121:W129" si="6">SUM(S121:V121)</f>
        <v>18070</v>
      </c>
      <c r="X121" s="117"/>
      <c r="Y121" s="149"/>
    </row>
    <row r="122" ht="14.25" customHeight="1">
      <c r="B122" s="69"/>
      <c r="C122" s="77" t="s">
        <v>134</v>
      </c>
      <c r="D122" s="154"/>
      <c r="L122" s="61"/>
      <c r="M122" s="62"/>
      <c r="N122" s="63"/>
      <c r="O122" s="62"/>
      <c r="P122" s="63"/>
      <c r="Q122" s="62"/>
      <c r="R122" s="83"/>
      <c r="S122" s="68">
        <v>584.0</v>
      </c>
      <c r="T122" s="64">
        <v>2113.0</v>
      </c>
      <c r="U122" s="68">
        <v>1691.0</v>
      </c>
      <c r="V122" s="64">
        <v>1246.0</v>
      </c>
      <c r="W122" s="68">
        <f t="shared" si="6"/>
        <v>5634</v>
      </c>
      <c r="X122" s="117"/>
      <c r="Y122" s="149"/>
    </row>
    <row r="123" ht="14.25" customHeight="1">
      <c r="B123" s="69"/>
      <c r="C123" s="77" t="s">
        <v>135</v>
      </c>
      <c r="D123" s="154"/>
      <c r="L123" s="61"/>
      <c r="M123" s="62"/>
      <c r="N123" s="63"/>
      <c r="O123" s="62"/>
      <c r="P123" s="63"/>
      <c r="Q123" s="62"/>
      <c r="R123" s="83"/>
      <c r="S123" s="68">
        <v>705.0</v>
      </c>
      <c r="T123" s="64">
        <v>315.0</v>
      </c>
      <c r="U123" s="68">
        <v>2219.0</v>
      </c>
      <c r="V123" s="64">
        <v>387.0</v>
      </c>
      <c r="W123" s="68">
        <f t="shared" si="6"/>
        <v>3626</v>
      </c>
      <c r="X123" s="117"/>
      <c r="Y123" s="149"/>
    </row>
    <row r="124" ht="14.25" customHeight="1">
      <c r="B124" s="69"/>
      <c r="C124" s="70" t="s">
        <v>136</v>
      </c>
      <c r="D124" s="183"/>
      <c r="L124" s="61"/>
      <c r="M124" s="62"/>
      <c r="N124" s="63"/>
      <c r="O124" s="62"/>
      <c r="P124" s="63"/>
      <c r="Q124" s="62"/>
      <c r="R124" s="63"/>
      <c r="S124" s="68">
        <v>37.0</v>
      </c>
      <c r="T124" s="64">
        <v>38.0</v>
      </c>
      <c r="U124" s="68">
        <v>33.0</v>
      </c>
      <c r="V124" s="64">
        <v>26.0</v>
      </c>
      <c r="W124" s="68">
        <f t="shared" si="6"/>
        <v>134</v>
      </c>
      <c r="X124" s="117"/>
      <c r="Y124" s="149"/>
    </row>
    <row r="125" ht="14.25" customHeight="1">
      <c r="B125" s="69"/>
      <c r="C125" s="70" t="s">
        <v>137</v>
      </c>
      <c r="D125" s="154"/>
      <c r="L125" s="61"/>
      <c r="M125" s="62"/>
      <c r="N125" s="63"/>
      <c r="O125" s="62"/>
      <c r="P125" s="63"/>
      <c r="Q125" s="62"/>
      <c r="R125" s="63"/>
      <c r="S125" s="68">
        <v>553.0</v>
      </c>
      <c r="T125" s="64">
        <v>5202.0</v>
      </c>
      <c r="U125" s="68">
        <v>4394.0</v>
      </c>
      <c r="V125" s="64">
        <v>2998.0</v>
      </c>
      <c r="W125" s="68">
        <f t="shared" si="6"/>
        <v>13147</v>
      </c>
      <c r="X125" s="117"/>
      <c r="Y125" s="149"/>
    </row>
    <row r="126" ht="14.25" customHeight="1">
      <c r="B126" s="69"/>
      <c r="C126" s="77" t="s">
        <v>138</v>
      </c>
      <c r="D126" s="154"/>
      <c r="L126" s="61"/>
      <c r="M126" s="62"/>
      <c r="N126" s="64"/>
      <c r="O126" s="68"/>
      <c r="P126" s="64"/>
      <c r="Q126" s="68"/>
      <c r="R126" s="64"/>
      <c r="S126" s="68">
        <v>15.0</v>
      </c>
      <c r="T126" s="64">
        <v>19.0</v>
      </c>
      <c r="U126" s="68">
        <v>0.0</v>
      </c>
      <c r="V126" s="64">
        <v>0.0</v>
      </c>
      <c r="W126" s="68">
        <f t="shared" si="6"/>
        <v>34</v>
      </c>
      <c r="X126" s="117"/>
      <c r="Y126" s="149"/>
    </row>
    <row r="127" ht="14.25" customHeight="1">
      <c r="B127" s="69"/>
      <c r="C127" s="77" t="s">
        <v>139</v>
      </c>
      <c r="D127" s="154"/>
      <c r="L127" s="61"/>
      <c r="M127" s="62"/>
      <c r="N127" s="64"/>
      <c r="O127" s="68"/>
      <c r="P127" s="64"/>
      <c r="Q127" s="68"/>
      <c r="R127" s="64"/>
      <c r="S127" s="68">
        <v>120.0</v>
      </c>
      <c r="T127" s="64">
        <v>401.0</v>
      </c>
      <c r="U127" s="68">
        <v>962.0</v>
      </c>
      <c r="V127" s="64">
        <v>4807.0</v>
      </c>
      <c r="W127" s="68">
        <f t="shared" si="6"/>
        <v>6290</v>
      </c>
      <c r="X127" s="117"/>
      <c r="Y127" s="149"/>
    </row>
    <row r="128" ht="14.25" customHeight="1">
      <c r="B128" s="69"/>
      <c r="C128" s="77" t="s">
        <v>140</v>
      </c>
      <c r="D128" s="154"/>
      <c r="L128" s="61"/>
      <c r="M128" s="62"/>
      <c r="N128" s="64"/>
      <c r="O128" s="68"/>
      <c r="P128" s="64"/>
      <c r="Q128" s="68"/>
      <c r="R128" s="64"/>
      <c r="S128" s="68">
        <v>3575.0</v>
      </c>
      <c r="T128" s="64">
        <v>13714.0</v>
      </c>
      <c r="U128" s="68">
        <v>14654.0</v>
      </c>
      <c r="V128" s="64">
        <v>13783.0</v>
      </c>
      <c r="W128" s="68">
        <f t="shared" si="6"/>
        <v>45726</v>
      </c>
      <c r="X128" s="117"/>
      <c r="Y128" s="149"/>
    </row>
    <row r="129" ht="14.25" customHeight="1">
      <c r="B129" s="69"/>
      <c r="C129" s="77" t="s">
        <v>141</v>
      </c>
      <c r="D129" s="154"/>
      <c r="L129" s="61"/>
      <c r="M129" s="62"/>
      <c r="N129" s="64"/>
      <c r="O129" s="68"/>
      <c r="P129" s="64"/>
      <c r="Q129" s="68"/>
      <c r="R129" s="64"/>
      <c r="S129" s="68">
        <v>0.0</v>
      </c>
      <c r="T129" s="64">
        <v>0.0</v>
      </c>
      <c r="U129" s="68">
        <v>0.0</v>
      </c>
      <c r="V129" s="64">
        <v>0.0</v>
      </c>
      <c r="W129" s="68">
        <f t="shared" si="6"/>
        <v>0</v>
      </c>
      <c r="X129" s="117"/>
      <c r="Y129" s="149"/>
    </row>
    <row r="130" ht="14.25" customHeight="1">
      <c r="B130" s="69"/>
      <c r="C130" s="77" t="s">
        <v>142</v>
      </c>
      <c r="D130" s="154"/>
      <c r="L130" s="61"/>
      <c r="M130" s="62"/>
      <c r="N130" s="64"/>
      <c r="O130" s="68"/>
      <c r="P130" s="64"/>
      <c r="Q130" s="68"/>
      <c r="R130" s="64"/>
      <c r="S130" s="68"/>
      <c r="T130" s="64"/>
      <c r="U130" s="68"/>
      <c r="V130" s="64"/>
      <c r="W130" s="68"/>
      <c r="X130" s="117"/>
      <c r="Y130" s="63"/>
    </row>
    <row r="131" ht="14.25" customHeight="1">
      <c r="B131" s="69"/>
      <c r="C131" s="144" t="s">
        <v>143</v>
      </c>
      <c r="D131" s="154"/>
      <c r="L131" s="61"/>
      <c r="M131" s="62"/>
      <c r="N131" s="63"/>
      <c r="O131" s="62"/>
      <c r="P131" s="63"/>
      <c r="Q131" s="62"/>
      <c r="R131" s="83" t="s">
        <v>131</v>
      </c>
      <c r="S131" s="68"/>
      <c r="T131" s="64"/>
      <c r="U131" s="68"/>
      <c r="V131" s="64"/>
      <c r="W131" s="68"/>
      <c r="X131" s="191"/>
      <c r="Y131" s="192"/>
    </row>
    <row r="132" ht="14.25" customHeight="1">
      <c r="B132" s="69"/>
      <c r="C132" s="77" t="s">
        <v>144</v>
      </c>
      <c r="D132" s="154"/>
      <c r="L132" s="61"/>
      <c r="M132" s="62"/>
      <c r="N132" s="63"/>
      <c r="O132" s="62"/>
      <c r="P132" s="63"/>
      <c r="Q132" s="62"/>
      <c r="R132" s="83"/>
      <c r="S132" s="68">
        <v>766.0</v>
      </c>
      <c r="T132" s="64">
        <v>3876.0</v>
      </c>
      <c r="U132" s="68">
        <v>3622.0</v>
      </c>
      <c r="V132" s="64">
        <v>5321.0</v>
      </c>
      <c r="W132" s="68">
        <f t="shared" ref="W132:W138" si="7">SUM(S132:V132)</f>
        <v>13585</v>
      </c>
      <c r="X132" s="64"/>
      <c r="Y132" s="192"/>
    </row>
    <row r="133" ht="14.25" customHeight="1">
      <c r="B133" s="69"/>
      <c r="C133" s="77" t="s">
        <v>145</v>
      </c>
      <c r="D133" s="154"/>
      <c r="L133" s="61"/>
      <c r="M133" s="62"/>
      <c r="N133" s="63"/>
      <c r="O133" s="62"/>
      <c r="P133" s="63"/>
      <c r="Q133" s="62"/>
      <c r="R133" s="83"/>
      <c r="S133" s="68">
        <v>2126.0</v>
      </c>
      <c r="T133" s="64">
        <v>6543.0</v>
      </c>
      <c r="U133" s="68">
        <v>5851.0</v>
      </c>
      <c r="V133" s="64">
        <v>4474.0</v>
      </c>
      <c r="W133" s="68">
        <f t="shared" si="7"/>
        <v>18994</v>
      </c>
      <c r="X133" s="64"/>
      <c r="Y133" s="192"/>
    </row>
    <row r="134" ht="14.25" customHeight="1">
      <c r="B134" s="69"/>
      <c r="C134" s="77" t="s">
        <v>146</v>
      </c>
      <c r="D134" s="154"/>
      <c r="L134" s="61"/>
      <c r="M134" s="62"/>
      <c r="N134" s="63"/>
      <c r="O134" s="62"/>
      <c r="P134" s="63"/>
      <c r="Q134" s="62"/>
      <c r="R134" s="83"/>
      <c r="S134" s="68">
        <v>5.0</v>
      </c>
      <c r="T134" s="64">
        <v>22.0</v>
      </c>
      <c r="U134" s="68">
        <v>242.0</v>
      </c>
      <c r="V134" s="64">
        <v>124.0</v>
      </c>
      <c r="W134" s="68">
        <f t="shared" si="7"/>
        <v>393</v>
      </c>
      <c r="X134" s="64"/>
      <c r="Y134" s="192"/>
    </row>
    <row r="135" ht="14.25" customHeight="1">
      <c r="B135" s="69"/>
      <c r="C135" s="70" t="s">
        <v>147</v>
      </c>
      <c r="D135" s="183"/>
      <c r="L135" s="61"/>
      <c r="M135" s="62"/>
      <c r="N135" s="63"/>
      <c r="O135" s="62"/>
      <c r="P135" s="63"/>
      <c r="Q135" s="62"/>
      <c r="R135" s="63"/>
      <c r="S135" s="68">
        <v>315.0</v>
      </c>
      <c r="T135" s="64">
        <v>968.0</v>
      </c>
      <c r="U135" s="68">
        <v>3007.0</v>
      </c>
      <c r="V135" s="64">
        <v>1690.0</v>
      </c>
      <c r="W135" s="68">
        <f t="shared" si="7"/>
        <v>5980</v>
      </c>
      <c r="X135" s="64"/>
      <c r="Y135" s="192"/>
    </row>
    <row r="136" ht="14.25" customHeight="1">
      <c r="B136" s="69"/>
      <c r="C136" s="70" t="s">
        <v>148</v>
      </c>
      <c r="D136" s="154"/>
      <c r="L136" s="61"/>
      <c r="M136" s="62"/>
      <c r="N136" s="63"/>
      <c r="O136" s="62"/>
      <c r="P136" s="63"/>
      <c r="Q136" s="62"/>
      <c r="R136" s="63"/>
      <c r="S136" s="68">
        <v>605.0</v>
      </c>
      <c r="T136" s="64">
        <v>2305.0</v>
      </c>
      <c r="U136" s="68">
        <v>1972.0</v>
      </c>
      <c r="V136" s="64">
        <v>2249.0</v>
      </c>
      <c r="W136" s="68">
        <f t="shared" si="7"/>
        <v>7131</v>
      </c>
      <c r="X136" s="64"/>
      <c r="Y136" s="192"/>
    </row>
    <row r="137" ht="14.25" customHeight="1">
      <c r="B137" s="69"/>
      <c r="C137" s="77" t="s">
        <v>149</v>
      </c>
      <c r="D137" s="154"/>
      <c r="L137" s="61"/>
      <c r="M137" s="62"/>
      <c r="N137" s="64"/>
      <c r="O137" s="68"/>
      <c r="P137" s="64"/>
      <c r="Q137" s="68"/>
      <c r="R137" s="64"/>
      <c r="S137" s="68">
        <v>70.0</v>
      </c>
      <c r="T137" s="64">
        <v>207.0</v>
      </c>
      <c r="U137" s="68">
        <v>226.0</v>
      </c>
      <c r="V137" s="64">
        <v>220.0</v>
      </c>
      <c r="W137" s="68">
        <f t="shared" si="7"/>
        <v>723</v>
      </c>
      <c r="X137" s="64"/>
      <c r="Y137" s="192"/>
    </row>
    <row r="138" ht="14.25" customHeight="1">
      <c r="B138" s="69"/>
      <c r="C138" s="77" t="s">
        <v>150</v>
      </c>
      <c r="D138" s="154"/>
      <c r="L138" s="61"/>
      <c r="M138" s="62"/>
      <c r="N138" s="64"/>
      <c r="O138" s="68"/>
      <c r="P138" s="64"/>
      <c r="Q138" s="68"/>
      <c r="R138" s="64"/>
      <c r="S138" s="68">
        <v>0.0</v>
      </c>
      <c r="T138" s="64">
        <v>3.0</v>
      </c>
      <c r="U138" s="68">
        <v>0.0</v>
      </c>
      <c r="V138" s="64">
        <v>5.0</v>
      </c>
      <c r="W138" s="68">
        <f t="shared" si="7"/>
        <v>8</v>
      </c>
      <c r="X138" s="64"/>
      <c r="Y138" s="192"/>
    </row>
    <row r="139" ht="14.25" customHeight="1">
      <c r="B139" s="69"/>
      <c r="C139" s="77"/>
      <c r="D139" s="154"/>
      <c r="L139" s="61"/>
      <c r="M139" s="62"/>
      <c r="N139" s="64"/>
      <c r="O139" s="68"/>
      <c r="P139" s="64"/>
      <c r="Q139" s="68"/>
      <c r="R139" s="64"/>
      <c r="S139" s="68"/>
      <c r="T139" s="64"/>
      <c r="U139" s="68"/>
      <c r="V139" s="64"/>
      <c r="W139" s="68"/>
      <c r="X139" s="64"/>
      <c r="Y139" s="192"/>
    </row>
    <row r="140" ht="14.25" customHeight="1">
      <c r="B140" s="69"/>
      <c r="C140" s="193" t="s">
        <v>151</v>
      </c>
      <c r="D140" s="167"/>
      <c r="E140" s="67"/>
      <c r="F140" s="67"/>
      <c r="G140" s="67"/>
      <c r="H140" s="67"/>
      <c r="I140" s="67"/>
      <c r="J140" s="67"/>
      <c r="K140" s="67"/>
      <c r="L140" s="61"/>
      <c r="M140" s="62"/>
      <c r="N140" s="64"/>
      <c r="O140" s="68"/>
      <c r="P140" s="64"/>
      <c r="Q140" s="68"/>
      <c r="R140" s="64"/>
      <c r="S140" s="68"/>
      <c r="T140" s="64"/>
      <c r="U140" s="68"/>
      <c r="V140" s="64"/>
      <c r="W140" s="68"/>
      <c r="X140" s="64"/>
      <c r="Y140" s="192"/>
    </row>
    <row r="141" ht="60.0" customHeight="1">
      <c r="B141" s="69"/>
      <c r="C141" s="194" t="s">
        <v>152</v>
      </c>
      <c r="D141" s="154"/>
      <c r="L141" s="61"/>
      <c r="M141" s="62"/>
      <c r="N141" s="139"/>
      <c r="O141" s="140"/>
      <c r="P141" s="139"/>
      <c r="Q141" s="140"/>
      <c r="R141" s="98"/>
      <c r="S141" s="195"/>
      <c r="T141" s="98"/>
      <c r="U141" s="195"/>
      <c r="V141" s="98"/>
      <c r="W141" s="195"/>
      <c r="X141" s="64"/>
      <c r="Y141" s="149"/>
    </row>
    <row r="142" ht="39.75" customHeight="1">
      <c r="A142" s="105"/>
      <c r="B142" s="96"/>
      <c r="C142" s="194"/>
      <c r="D142" s="196" t="s">
        <v>153</v>
      </c>
      <c r="E142" s="105"/>
      <c r="F142" s="105"/>
      <c r="G142" s="105"/>
      <c r="H142" s="105"/>
      <c r="I142" s="105"/>
      <c r="J142" s="105"/>
      <c r="K142" s="105"/>
      <c r="L142" s="107"/>
      <c r="M142" s="108"/>
      <c r="N142" s="139"/>
      <c r="O142" s="140"/>
      <c r="P142" s="139"/>
      <c r="Q142" s="140"/>
      <c r="R142" s="98">
        <v>83377.0</v>
      </c>
      <c r="S142" s="195">
        <v>1540.0</v>
      </c>
      <c r="T142" s="98">
        <v>0.0</v>
      </c>
      <c r="U142" s="195">
        <v>290.0</v>
      </c>
      <c r="V142" s="98">
        <v>0.0</v>
      </c>
      <c r="W142" s="195">
        <f t="shared" ref="W142:W143" si="8">SUM(S142:V142)</f>
        <v>1830</v>
      </c>
      <c r="X142" s="98">
        <f>IFERROR(__xludf.DUMMYFUNCTION("+W142-R142"),-81547.0)</f>
        <v>-81547</v>
      </c>
      <c r="Y142" s="101"/>
      <c r="Z142" s="105"/>
      <c r="AA142" s="105"/>
      <c r="AB142" s="105"/>
      <c r="AC142" s="105"/>
      <c r="AD142" s="105"/>
      <c r="AE142" s="105"/>
    </row>
    <row r="143" ht="39.75" customHeight="1">
      <c r="A143" s="105"/>
      <c r="B143" s="96"/>
      <c r="C143" s="194"/>
      <c r="D143" s="196" t="s">
        <v>154</v>
      </c>
      <c r="E143" s="105"/>
      <c r="F143" s="105"/>
      <c r="G143" s="105"/>
      <c r="H143" s="105"/>
      <c r="I143" s="105"/>
      <c r="J143" s="105"/>
      <c r="K143" s="105"/>
      <c r="L143" s="107"/>
      <c r="M143" s="108"/>
      <c r="N143" s="139"/>
      <c r="O143" s="140"/>
      <c r="P143" s="139"/>
      <c r="Q143" s="140"/>
      <c r="R143" s="98">
        <v>222783.0</v>
      </c>
      <c r="S143" s="195">
        <v>21257.0</v>
      </c>
      <c r="T143" s="98">
        <v>1360.0</v>
      </c>
      <c r="U143" s="195">
        <v>56194.0</v>
      </c>
      <c r="V143" s="98">
        <v>20684.0</v>
      </c>
      <c r="W143" s="195">
        <f t="shared" si="8"/>
        <v>99495</v>
      </c>
      <c r="X143" s="98">
        <f>IFERROR(__xludf.DUMMYFUNCTION("+W143-R143"),-123288.0)</f>
        <v>-123288</v>
      </c>
      <c r="Y143" s="101"/>
      <c r="Z143" s="105"/>
      <c r="AA143" s="105"/>
      <c r="AB143" s="105"/>
      <c r="AC143" s="105"/>
      <c r="AD143" s="105"/>
      <c r="AE143" s="105"/>
    </row>
    <row r="144" ht="14.25" customHeight="1">
      <c r="B144" s="69"/>
      <c r="C144" s="193" t="s">
        <v>155</v>
      </c>
      <c r="D144" s="167"/>
      <c r="E144" s="67"/>
      <c r="F144" s="67"/>
      <c r="G144" s="67"/>
      <c r="H144" s="67"/>
      <c r="I144" s="67"/>
      <c r="J144" s="67"/>
      <c r="K144" s="67"/>
      <c r="L144" s="61"/>
      <c r="M144" s="62"/>
      <c r="N144" s="64"/>
      <c r="O144" s="68"/>
      <c r="P144" s="64"/>
      <c r="Q144" s="68"/>
      <c r="R144" s="64"/>
      <c r="S144" s="68"/>
      <c r="T144" s="64"/>
      <c r="U144" s="68"/>
      <c r="V144" s="64"/>
      <c r="W144" s="68"/>
      <c r="X144" s="64"/>
      <c r="Y144" s="192"/>
    </row>
    <row r="145" ht="14.25" customHeight="1">
      <c r="B145" s="69"/>
      <c r="C145" s="183" t="s">
        <v>156</v>
      </c>
      <c r="D145" s="154"/>
      <c r="L145" s="61"/>
      <c r="M145" s="62"/>
      <c r="N145" s="64"/>
      <c r="O145" s="68"/>
      <c r="P145" s="64"/>
      <c r="Q145" s="68"/>
      <c r="R145" s="64"/>
      <c r="S145" s="68"/>
      <c r="T145" s="64"/>
      <c r="U145" s="68"/>
      <c r="V145" s="64"/>
      <c r="W145" s="68"/>
      <c r="X145" s="64"/>
      <c r="Y145" s="192"/>
    </row>
    <row r="146" ht="14.25" customHeight="1">
      <c r="B146" s="69"/>
      <c r="C146" s="77" t="s">
        <v>157</v>
      </c>
      <c r="D146" s="154"/>
      <c r="L146" s="61"/>
      <c r="M146" s="62"/>
      <c r="N146" s="64"/>
      <c r="O146" s="68"/>
      <c r="P146" s="64"/>
      <c r="Q146" s="68"/>
      <c r="R146" s="64">
        <v>24.0</v>
      </c>
      <c r="S146" s="68">
        <v>20.0</v>
      </c>
      <c r="T146" s="64">
        <v>20.0</v>
      </c>
      <c r="U146" s="68">
        <v>20.0</v>
      </c>
      <c r="V146" s="64">
        <v>21.0</v>
      </c>
      <c r="W146" s="68">
        <v>21.0</v>
      </c>
      <c r="X146" s="64">
        <f>IFERROR(__xludf.DUMMYFUNCTION("+W146-R146"),-3.0)</f>
        <v>-3</v>
      </c>
      <c r="Y146" s="76" t="s">
        <v>158</v>
      </c>
    </row>
    <row r="147" ht="14.25" customHeight="1">
      <c r="B147" s="69"/>
      <c r="C147" s="77" t="s">
        <v>159</v>
      </c>
      <c r="D147" s="154"/>
      <c r="L147" s="61"/>
      <c r="M147" s="62"/>
      <c r="N147" s="64"/>
      <c r="O147" s="68"/>
      <c r="P147" s="64"/>
      <c r="Q147" s="68"/>
      <c r="R147" s="64"/>
      <c r="S147" s="68"/>
      <c r="T147" s="64"/>
      <c r="U147" s="68"/>
      <c r="V147" s="64"/>
      <c r="W147" s="68"/>
      <c r="X147" s="64"/>
      <c r="Y147" s="40"/>
    </row>
    <row r="148" ht="14.25" customHeight="1">
      <c r="B148" s="69"/>
      <c r="D148" s="77" t="s">
        <v>160</v>
      </c>
      <c r="L148" s="61"/>
      <c r="M148" s="62"/>
      <c r="N148" s="64" t="s">
        <v>131</v>
      </c>
      <c r="O148" s="68" t="s">
        <v>131</v>
      </c>
      <c r="P148" s="64" t="s">
        <v>131</v>
      </c>
      <c r="Q148" s="68" t="s">
        <v>131</v>
      </c>
      <c r="R148" s="64" t="s">
        <v>131</v>
      </c>
      <c r="S148" s="68"/>
      <c r="T148" s="64"/>
      <c r="U148" s="68"/>
      <c r="V148" s="64"/>
      <c r="W148" s="68"/>
      <c r="X148" s="64"/>
      <c r="Y148" s="40"/>
    </row>
    <row r="149" ht="14.25" customHeight="1">
      <c r="B149" s="69"/>
      <c r="D149" s="77" t="s">
        <v>161</v>
      </c>
      <c r="L149" s="61"/>
      <c r="M149" s="62"/>
      <c r="N149" s="64" t="s">
        <v>131</v>
      </c>
      <c r="O149" s="68" t="s">
        <v>131</v>
      </c>
      <c r="P149" s="64" t="s">
        <v>131</v>
      </c>
      <c r="Q149" s="68" t="s">
        <v>131</v>
      </c>
      <c r="R149" s="64" t="s">
        <v>131</v>
      </c>
      <c r="S149" s="68"/>
      <c r="T149" s="64"/>
      <c r="U149" s="68"/>
      <c r="V149" s="64"/>
      <c r="W149" s="68"/>
      <c r="X149" s="64"/>
      <c r="Y149" s="90"/>
    </row>
    <row r="150" ht="14.25" customHeight="1">
      <c r="B150" s="69">
        <v>2.12</v>
      </c>
      <c r="C150" s="70" t="s">
        <v>162</v>
      </c>
      <c r="D150" s="143"/>
      <c r="E150" s="143"/>
      <c r="L150" s="61"/>
      <c r="M150" s="62"/>
      <c r="N150" s="64"/>
      <c r="O150" s="68"/>
      <c r="P150" s="64"/>
      <c r="Q150" s="68"/>
      <c r="R150" s="64"/>
      <c r="S150" s="68"/>
      <c r="T150" s="64"/>
      <c r="U150" s="68"/>
      <c r="V150" s="64"/>
      <c r="W150" s="68"/>
      <c r="X150" s="64"/>
      <c r="Y150" s="65"/>
    </row>
    <row r="151" ht="14.25" customHeight="1">
      <c r="B151" s="69"/>
      <c r="C151" s="91" t="s">
        <v>163</v>
      </c>
      <c r="D151" s="144"/>
      <c r="E151" s="144"/>
      <c r="L151" s="61"/>
      <c r="M151" s="62"/>
      <c r="N151" s="64"/>
      <c r="O151" s="68"/>
      <c r="P151" s="64"/>
      <c r="Q151" s="68"/>
      <c r="R151" s="64"/>
      <c r="S151" s="68">
        <v>52.0</v>
      </c>
      <c r="T151" s="64">
        <v>66.0</v>
      </c>
      <c r="U151" s="68">
        <v>169.0</v>
      </c>
      <c r="V151" s="64">
        <v>156.0</v>
      </c>
      <c r="W151" s="68">
        <f>IFERROR(__xludf.DUMMYFUNCTION("+SUM(S151:V151)"),443.0)</f>
        <v>443</v>
      </c>
      <c r="X151" s="73">
        <f>IFERROR(__xludf.DUMMYFUNCTION("+W151-R151"),443.0)</f>
        <v>443</v>
      </c>
      <c r="Y151" s="65"/>
    </row>
    <row r="152" ht="14.25" customHeight="1">
      <c r="B152" s="69"/>
      <c r="C152" s="91" t="s">
        <v>164</v>
      </c>
      <c r="D152" s="70"/>
      <c r="L152" s="61"/>
      <c r="M152" s="62"/>
      <c r="N152" s="64"/>
      <c r="O152" s="68"/>
      <c r="P152" s="64"/>
      <c r="Q152" s="68"/>
      <c r="R152" s="64"/>
      <c r="S152" s="68">
        <v>4.0</v>
      </c>
      <c r="T152" s="64">
        <v>5.0</v>
      </c>
      <c r="U152" s="68">
        <v>6.0</v>
      </c>
      <c r="V152" s="64">
        <v>0.0</v>
      </c>
      <c r="W152" s="68">
        <f>IFERROR(__xludf.DUMMYFUNCTION("+SUM(S152:V152)"),15.0)</f>
        <v>15</v>
      </c>
      <c r="X152" s="73">
        <f>IFERROR(__xludf.DUMMYFUNCTION("+W152-R152"),15.0)</f>
        <v>15</v>
      </c>
      <c r="Y152" s="65"/>
    </row>
    <row r="153" ht="14.25" customHeight="1">
      <c r="B153" s="69"/>
      <c r="C153" s="70" t="s">
        <v>165</v>
      </c>
      <c r="D153" s="197"/>
      <c r="L153" s="61"/>
      <c r="M153" s="62"/>
      <c r="N153" s="64"/>
      <c r="O153" s="68"/>
      <c r="P153" s="64"/>
      <c r="Q153" s="68"/>
      <c r="R153" s="64"/>
      <c r="S153" s="68">
        <v>2.0</v>
      </c>
      <c r="T153" s="64">
        <v>9.0</v>
      </c>
      <c r="U153" s="68">
        <v>5.0</v>
      </c>
      <c r="V153" s="64">
        <v>2.0</v>
      </c>
      <c r="W153" s="68">
        <f>IFERROR(__xludf.DUMMYFUNCTION("+SUM(S153:V153)"),18.0)</f>
        <v>18</v>
      </c>
      <c r="X153" s="73">
        <f>IFERROR(__xludf.DUMMYFUNCTION("+W153-R153"),18.0)</f>
        <v>18</v>
      </c>
      <c r="Y153" s="65"/>
    </row>
    <row r="154" ht="14.25" customHeight="1">
      <c r="B154" s="69"/>
      <c r="C154" s="70" t="s">
        <v>166</v>
      </c>
      <c r="D154" s="197"/>
      <c r="L154" s="61"/>
      <c r="M154" s="62"/>
      <c r="N154" s="64"/>
      <c r="O154" s="68"/>
      <c r="P154" s="64"/>
      <c r="Q154" s="68"/>
      <c r="R154" s="64"/>
      <c r="S154" s="68">
        <v>7.0</v>
      </c>
      <c r="T154" s="64">
        <v>20.0</v>
      </c>
      <c r="U154" s="68">
        <v>9.0</v>
      </c>
      <c r="V154" s="64">
        <v>7.0</v>
      </c>
      <c r="W154" s="68">
        <f>IFERROR(__xludf.DUMMYFUNCTION("+SUM(S154:V154)"),43.0)</f>
        <v>43</v>
      </c>
      <c r="X154" s="73">
        <f>IFERROR(__xludf.DUMMYFUNCTION("+W154-R154"),43.0)</f>
        <v>43</v>
      </c>
      <c r="Y154" s="65"/>
    </row>
    <row r="155" ht="14.25" customHeight="1">
      <c r="B155" s="69">
        <v>2.13</v>
      </c>
      <c r="C155" s="70" t="s">
        <v>167</v>
      </c>
      <c r="D155" s="197"/>
      <c r="L155" s="61"/>
      <c r="M155" s="62"/>
      <c r="N155" s="64"/>
      <c r="O155" s="68"/>
      <c r="P155" s="64"/>
      <c r="Q155" s="68"/>
      <c r="R155" s="64"/>
      <c r="S155" s="68"/>
      <c r="T155" s="64"/>
      <c r="U155" s="68"/>
      <c r="V155" s="64"/>
      <c r="W155" s="68"/>
      <c r="X155" s="64"/>
      <c r="Y155" s="198" t="s">
        <v>168</v>
      </c>
    </row>
    <row r="156" ht="14.25" customHeight="1">
      <c r="B156" s="69"/>
      <c r="C156" s="70" t="s">
        <v>169</v>
      </c>
      <c r="D156" s="70"/>
      <c r="L156" s="61"/>
      <c r="M156" s="62"/>
      <c r="N156" s="64"/>
      <c r="O156" s="68"/>
      <c r="P156" s="64"/>
      <c r="Q156" s="68"/>
      <c r="R156" s="64"/>
      <c r="S156" s="68"/>
      <c r="T156" s="64"/>
      <c r="U156" s="68"/>
      <c r="V156" s="64"/>
      <c r="W156" s="68"/>
      <c r="X156" s="64"/>
      <c r="Y156" s="65"/>
    </row>
    <row r="157" ht="14.25" customHeight="1">
      <c r="B157" s="69"/>
      <c r="C157" s="91" t="s">
        <v>170</v>
      </c>
      <c r="D157" s="70"/>
      <c r="L157" s="61"/>
      <c r="M157" s="62"/>
      <c r="N157" s="63"/>
      <c r="O157" s="62"/>
      <c r="P157" s="63"/>
      <c r="Q157" s="62"/>
      <c r="R157" s="63"/>
      <c r="S157" s="68"/>
      <c r="T157" s="64"/>
      <c r="U157" s="68"/>
      <c r="V157" s="64"/>
      <c r="W157" s="68"/>
      <c r="X157" s="64"/>
      <c r="Y157" s="65"/>
    </row>
    <row r="158" ht="14.25" customHeight="1">
      <c r="B158" s="69"/>
      <c r="C158" s="91" t="s">
        <v>171</v>
      </c>
      <c r="D158" s="70"/>
      <c r="L158" s="61"/>
      <c r="M158" s="62"/>
      <c r="N158" s="63"/>
      <c r="O158" s="62"/>
      <c r="P158" s="63"/>
      <c r="Q158" s="62"/>
      <c r="R158" s="63"/>
      <c r="S158" s="68"/>
      <c r="T158" s="64"/>
      <c r="U158" s="68"/>
      <c r="V158" s="64"/>
      <c r="W158" s="68"/>
      <c r="X158" s="64"/>
      <c r="Y158" s="65"/>
    </row>
    <row r="159" ht="14.25" customHeight="1">
      <c r="B159" s="69"/>
      <c r="C159" s="91" t="s">
        <v>172</v>
      </c>
      <c r="D159" s="70"/>
      <c r="L159" s="61"/>
      <c r="M159" s="62"/>
      <c r="N159" s="63"/>
      <c r="O159" s="62"/>
      <c r="P159" s="63"/>
      <c r="Q159" s="62"/>
      <c r="R159" s="63"/>
      <c r="S159" s="68"/>
      <c r="T159" s="64"/>
      <c r="U159" s="68"/>
      <c r="V159" s="64"/>
      <c r="W159" s="68"/>
      <c r="X159" s="64"/>
      <c r="Y159" s="65"/>
    </row>
    <row r="160" ht="14.25" customHeight="1">
      <c r="B160" s="69"/>
      <c r="C160" s="91" t="s">
        <v>173</v>
      </c>
      <c r="D160" s="70"/>
      <c r="L160" s="61"/>
      <c r="M160" s="62"/>
      <c r="N160" s="63"/>
      <c r="O160" s="62"/>
      <c r="P160" s="63"/>
      <c r="Q160" s="62"/>
      <c r="R160" s="63"/>
      <c r="S160" s="68"/>
      <c r="T160" s="64"/>
      <c r="U160" s="68"/>
      <c r="V160" s="64"/>
      <c r="W160" s="68"/>
      <c r="X160" s="64"/>
      <c r="Y160" s="65"/>
    </row>
    <row r="161" ht="14.25" customHeight="1">
      <c r="B161" s="69"/>
      <c r="C161" s="91" t="s">
        <v>174</v>
      </c>
      <c r="D161" s="70"/>
      <c r="L161" s="61"/>
      <c r="M161" s="62"/>
      <c r="N161" s="63"/>
      <c r="O161" s="62"/>
      <c r="P161" s="63"/>
      <c r="Q161" s="62"/>
      <c r="R161" s="63"/>
      <c r="S161" s="68"/>
      <c r="T161" s="64"/>
      <c r="U161" s="68"/>
      <c r="V161" s="64"/>
      <c r="W161" s="68"/>
      <c r="X161" s="64"/>
      <c r="Y161" s="65"/>
    </row>
    <row r="162" ht="14.25" customHeight="1">
      <c r="B162" s="69">
        <v>2.15</v>
      </c>
      <c r="C162" s="91" t="s">
        <v>175</v>
      </c>
      <c r="D162" s="70"/>
      <c r="L162" s="61"/>
      <c r="M162" s="62"/>
      <c r="N162" s="64"/>
      <c r="O162" s="68"/>
      <c r="P162" s="64"/>
      <c r="Q162" s="68"/>
      <c r="R162" s="64">
        <v>600.0</v>
      </c>
      <c r="S162" s="68">
        <v>224.0</v>
      </c>
      <c r="T162" s="64">
        <v>10.0</v>
      </c>
      <c r="U162" s="68">
        <v>8.0</v>
      </c>
      <c r="V162" s="64">
        <v>30.0</v>
      </c>
      <c r="W162" s="68">
        <f>IFERROR(__xludf.DUMMYFUNCTION("+S162+T162+U162+V162"),272.0)</f>
        <v>272</v>
      </c>
      <c r="X162" s="64">
        <f>IFERROR(__xludf.DUMMYFUNCTION("+W162-R162"),-328.0)</f>
        <v>-328</v>
      </c>
      <c r="Y162" s="65"/>
    </row>
    <row r="163" ht="14.25" customHeight="1">
      <c r="B163" s="199" t="s">
        <v>176</v>
      </c>
      <c r="C163" s="67"/>
      <c r="D163" s="151"/>
      <c r="E163" s="67"/>
      <c r="F163" s="67"/>
      <c r="G163" s="67"/>
      <c r="H163" s="67"/>
      <c r="I163" s="67"/>
      <c r="J163" s="67"/>
      <c r="K163" s="67"/>
      <c r="L163" s="61"/>
      <c r="M163" s="62"/>
      <c r="N163" s="64"/>
      <c r="O163" s="68"/>
      <c r="P163" s="64"/>
      <c r="Q163" s="68"/>
      <c r="R163" s="64"/>
      <c r="S163" s="68"/>
      <c r="T163" s="64"/>
      <c r="U163" s="68"/>
      <c r="V163" s="64"/>
      <c r="W163" s="68"/>
      <c r="X163" s="64"/>
      <c r="Y163" s="65"/>
    </row>
    <row r="164" ht="14.25" customHeight="1">
      <c r="A164" s="105"/>
      <c r="B164" s="96"/>
      <c r="C164" s="200" t="s">
        <v>177</v>
      </c>
      <c r="D164" s="97"/>
      <c r="E164" s="105"/>
      <c r="F164" s="105"/>
      <c r="G164" s="105"/>
      <c r="H164" s="105"/>
      <c r="I164" s="105"/>
      <c r="J164" s="105"/>
      <c r="K164" s="105"/>
      <c r="L164" s="107"/>
      <c r="M164" s="108"/>
      <c r="N164" s="139">
        <v>3.0</v>
      </c>
      <c r="O164" s="140">
        <v>3.0</v>
      </c>
      <c r="P164" s="139">
        <v>3.0</v>
      </c>
      <c r="Q164" s="140">
        <v>3.0</v>
      </c>
      <c r="R164" s="139">
        <v>12.0</v>
      </c>
      <c r="S164" s="140">
        <v>8.0</v>
      </c>
      <c r="T164" s="139">
        <v>0.0</v>
      </c>
      <c r="U164" s="140">
        <v>8.0</v>
      </c>
      <c r="V164" s="139">
        <v>2.0</v>
      </c>
      <c r="W164" s="140">
        <f>IFERROR(__xludf.DUMMYFUNCTION("+SUM(S164:V164)"),18.0)</f>
        <v>18</v>
      </c>
      <c r="X164" s="139">
        <f>IFERROR(__xludf.DUMMYFUNCTION("+W164-R164"),6.0)</f>
        <v>6</v>
      </c>
      <c r="Y164" s="76" t="s">
        <v>178</v>
      </c>
      <c r="Z164" s="105"/>
      <c r="AA164" s="105"/>
      <c r="AB164" s="105"/>
      <c r="AC164" s="105"/>
      <c r="AD164" s="105"/>
      <c r="AE164" s="105"/>
    </row>
    <row r="165" ht="14.25" customHeight="1">
      <c r="A165" s="105"/>
      <c r="B165" s="96"/>
      <c r="C165" s="200" t="s">
        <v>179</v>
      </c>
      <c r="D165" s="97"/>
      <c r="E165" s="105"/>
      <c r="F165" s="105"/>
      <c r="G165" s="105"/>
      <c r="H165" s="105"/>
      <c r="I165" s="105"/>
      <c r="J165" s="105"/>
      <c r="K165" s="105"/>
      <c r="L165" s="107"/>
      <c r="M165" s="108"/>
      <c r="N165" s="139">
        <v>2.0</v>
      </c>
      <c r="O165" s="140">
        <v>2.0</v>
      </c>
      <c r="P165" s="139">
        <v>3.0</v>
      </c>
      <c r="Q165" s="140">
        <v>3.0</v>
      </c>
      <c r="R165" s="139">
        <v>10.0</v>
      </c>
      <c r="S165" s="140">
        <v>0.0</v>
      </c>
      <c r="T165" s="139">
        <v>2.0</v>
      </c>
      <c r="U165" s="140">
        <v>5.0</v>
      </c>
      <c r="V165" s="139">
        <v>7.0</v>
      </c>
      <c r="W165" s="140">
        <f>IFERROR(__xludf.DUMMYFUNCTION("+SUM(S165:V165)"),14.0)</f>
        <v>14</v>
      </c>
      <c r="X165" s="139">
        <f>IFERROR(__xludf.DUMMYFUNCTION("+W165-R165"),4.0)</f>
        <v>4</v>
      </c>
      <c r="Y165" s="40"/>
      <c r="Z165" s="105"/>
      <c r="AA165" s="105"/>
      <c r="AB165" s="105"/>
      <c r="AC165" s="105"/>
      <c r="AD165" s="105"/>
      <c r="AE165" s="105"/>
    </row>
    <row r="166" ht="14.25" customHeight="1">
      <c r="A166" s="105"/>
      <c r="B166" s="96"/>
      <c r="C166" s="200" t="s">
        <v>180</v>
      </c>
      <c r="D166" s="97"/>
      <c r="E166" s="105"/>
      <c r="F166" s="105"/>
      <c r="G166" s="105"/>
      <c r="H166" s="105"/>
      <c r="I166" s="105"/>
      <c r="J166" s="105"/>
      <c r="K166" s="105"/>
      <c r="L166" s="107"/>
      <c r="M166" s="108"/>
      <c r="N166" s="139">
        <v>2.0</v>
      </c>
      <c r="O166" s="140">
        <v>2.0</v>
      </c>
      <c r="P166" s="139">
        <v>4.0</v>
      </c>
      <c r="Q166" s="140">
        <v>4.0</v>
      </c>
      <c r="R166" s="139">
        <v>12.0</v>
      </c>
      <c r="S166" s="140">
        <v>0.0</v>
      </c>
      <c r="T166" s="139">
        <v>2.0</v>
      </c>
      <c r="U166" s="140">
        <v>2.0</v>
      </c>
      <c r="V166" s="139">
        <v>6.0</v>
      </c>
      <c r="W166" s="140">
        <f>IFERROR(__xludf.DUMMYFUNCTION("+SUM(S166:V166)"),10.0)</f>
        <v>10</v>
      </c>
      <c r="X166" s="139">
        <f>IFERROR(__xludf.DUMMYFUNCTION("+W166-R166"),-2.0)</f>
        <v>-2</v>
      </c>
      <c r="Y166" s="40"/>
      <c r="Z166" s="105"/>
      <c r="AA166" s="105"/>
      <c r="AB166" s="105"/>
      <c r="AC166" s="105"/>
      <c r="AD166" s="105"/>
      <c r="AE166" s="105"/>
    </row>
    <row r="167" ht="14.25" customHeight="1">
      <c r="A167" s="105"/>
      <c r="B167" s="96"/>
      <c r="C167" s="200" t="s">
        <v>181</v>
      </c>
      <c r="D167" s="97"/>
      <c r="E167" s="105"/>
      <c r="F167" s="105"/>
      <c r="G167" s="105"/>
      <c r="H167" s="105"/>
      <c r="I167" s="105"/>
      <c r="J167" s="105"/>
      <c r="K167" s="105"/>
      <c r="L167" s="107"/>
      <c r="M167" s="108"/>
      <c r="N167" s="139">
        <v>1.0</v>
      </c>
      <c r="O167" s="140">
        <v>1.0</v>
      </c>
      <c r="P167" s="139">
        <v>1.0</v>
      </c>
      <c r="Q167" s="140">
        <v>1.0</v>
      </c>
      <c r="R167" s="139">
        <v>4.0</v>
      </c>
      <c r="S167" s="140">
        <v>0.0</v>
      </c>
      <c r="T167" s="139">
        <v>1.0</v>
      </c>
      <c r="U167" s="140">
        <v>0.0</v>
      </c>
      <c r="V167" s="139">
        <v>2.0</v>
      </c>
      <c r="W167" s="140">
        <f>IFERROR(__xludf.DUMMYFUNCTION("+SUM(S167:V167)"),3.0)</f>
        <v>3</v>
      </c>
      <c r="X167" s="139">
        <f>IFERROR(__xludf.DUMMYFUNCTION("+W167-R167"),-1.0)</f>
        <v>-1</v>
      </c>
      <c r="Y167" s="90"/>
      <c r="Z167" s="105"/>
      <c r="AA167" s="105"/>
      <c r="AB167" s="105"/>
      <c r="AC167" s="105"/>
      <c r="AD167" s="105"/>
      <c r="AE167" s="105"/>
    </row>
    <row r="168" ht="14.25" customHeight="1">
      <c r="B168" s="150" t="s">
        <v>182</v>
      </c>
      <c r="C168" s="151"/>
      <c r="D168" s="151"/>
      <c r="E168" s="152"/>
      <c r="F168" s="67"/>
      <c r="G168" s="67"/>
      <c r="H168" s="67"/>
      <c r="I168" s="67"/>
      <c r="J168" s="67"/>
      <c r="K168" s="67"/>
      <c r="L168" s="61"/>
      <c r="M168" s="62"/>
      <c r="N168" s="63"/>
      <c r="O168" s="62"/>
      <c r="P168" s="63"/>
      <c r="Q168" s="62"/>
      <c r="R168" s="63"/>
      <c r="S168" s="68"/>
      <c r="T168" s="64"/>
      <c r="U168" s="68"/>
      <c r="V168" s="64"/>
      <c r="W168" s="68"/>
      <c r="X168" s="64"/>
      <c r="Y168" s="65"/>
    </row>
    <row r="169" ht="14.25" customHeight="1">
      <c r="B169" s="148" t="s">
        <v>87</v>
      </c>
      <c r="C169" s="183"/>
      <c r="D169" s="144"/>
      <c r="E169" s="144"/>
      <c r="L169" s="61"/>
      <c r="M169" s="62"/>
      <c r="N169" s="63"/>
      <c r="O169" s="62"/>
      <c r="P169" s="63"/>
      <c r="Q169" s="62"/>
      <c r="R169" s="63"/>
      <c r="S169" s="68"/>
      <c r="T169" s="64"/>
      <c r="U169" s="68"/>
      <c r="V169" s="64"/>
      <c r="W169" s="68"/>
      <c r="X169" s="64"/>
      <c r="Y169" s="65"/>
    </row>
    <row r="170" ht="14.25" customHeight="1">
      <c r="B170" s="69">
        <v>2.6</v>
      </c>
      <c r="C170" s="91" t="s">
        <v>183</v>
      </c>
      <c r="D170" s="70"/>
      <c r="L170" s="61"/>
      <c r="M170" s="62"/>
      <c r="N170" s="63"/>
      <c r="O170" s="62"/>
      <c r="P170" s="63"/>
      <c r="Q170" s="62"/>
      <c r="R170" s="63"/>
      <c r="S170" s="68"/>
      <c r="T170" s="64"/>
      <c r="U170" s="68"/>
      <c r="V170" s="64"/>
      <c r="W170" s="68"/>
      <c r="X170" s="64"/>
      <c r="Y170" s="65"/>
    </row>
    <row r="171" ht="14.25" customHeight="1">
      <c r="B171" s="69"/>
      <c r="C171" s="91" t="s">
        <v>184</v>
      </c>
      <c r="D171" s="70"/>
      <c r="L171" s="61"/>
      <c r="M171" s="62"/>
      <c r="N171" s="63"/>
      <c r="O171" s="62"/>
      <c r="P171" s="63"/>
      <c r="Q171" s="62"/>
      <c r="R171" s="114">
        <v>0.5</v>
      </c>
      <c r="S171" s="115">
        <v>1.0</v>
      </c>
      <c r="T171" s="114">
        <v>1.0</v>
      </c>
      <c r="U171" s="115">
        <v>1.0</v>
      </c>
      <c r="V171" s="114">
        <v>1.0</v>
      </c>
      <c r="W171" s="145">
        <f>IFERROR(__xludf.DUMMYFUNCTION("+U171"),1.0)</f>
        <v>1</v>
      </c>
      <c r="X171" s="201">
        <f>IFERROR(__xludf.DUMMYFUNCTION("+W171-R171"),0.5)</f>
        <v>0.5</v>
      </c>
      <c r="Y171" s="202"/>
    </row>
    <row r="172" ht="14.25" customHeight="1">
      <c r="B172" s="69"/>
      <c r="C172" s="91" t="s">
        <v>185</v>
      </c>
      <c r="D172" s="70"/>
      <c r="L172" s="61"/>
      <c r="M172" s="62"/>
      <c r="N172" s="64" t="s">
        <v>131</v>
      </c>
      <c r="O172" s="68" t="s">
        <v>131</v>
      </c>
      <c r="P172" s="64" t="s">
        <v>131</v>
      </c>
      <c r="Q172" s="68" t="s">
        <v>131</v>
      </c>
      <c r="R172" s="114" t="s">
        <v>131</v>
      </c>
      <c r="S172" s="115">
        <v>1.0</v>
      </c>
      <c r="T172" s="114">
        <v>1.0</v>
      </c>
      <c r="U172" s="115">
        <v>1.0</v>
      </c>
      <c r="V172" s="114">
        <v>1.0</v>
      </c>
      <c r="W172" s="145">
        <f>IFERROR(__xludf.DUMMYFUNCTION("+U172"),1.0)</f>
        <v>1</v>
      </c>
      <c r="X172" s="64"/>
      <c r="Y172" s="65"/>
    </row>
    <row r="173" ht="14.25" customHeight="1">
      <c r="B173" s="148" t="s">
        <v>49</v>
      </c>
      <c r="C173" s="70"/>
      <c r="D173" s="70"/>
      <c r="L173" s="61"/>
      <c r="M173" s="62"/>
      <c r="N173" s="63"/>
      <c r="O173" s="62"/>
      <c r="P173" s="63"/>
      <c r="Q173" s="62"/>
      <c r="R173" s="63"/>
      <c r="S173" s="68"/>
      <c r="T173" s="64"/>
      <c r="U173" s="68"/>
      <c r="V173" s="64"/>
      <c r="W173" s="68"/>
      <c r="X173" s="64"/>
      <c r="Y173" s="65"/>
    </row>
    <row r="174" ht="14.25" customHeight="1">
      <c r="B174" s="69">
        <v>2.16</v>
      </c>
      <c r="C174" s="91" t="s">
        <v>186</v>
      </c>
      <c r="D174" s="70"/>
      <c r="L174" s="61"/>
      <c r="M174" s="62"/>
      <c r="N174" s="63"/>
      <c r="O174" s="62"/>
      <c r="P174" s="63"/>
      <c r="Q174" s="62"/>
      <c r="R174" s="64">
        <v>80.0</v>
      </c>
      <c r="S174" s="68"/>
      <c r="T174" s="64"/>
      <c r="U174" s="68"/>
      <c r="V174" s="64"/>
      <c r="W174" s="68">
        <f>SUM(W175:W179)</f>
        <v>107</v>
      </c>
      <c r="X174" s="64">
        <f>IFERROR(__xludf.DUMMYFUNCTION("+W174-R174"),27.0)</f>
        <v>27</v>
      </c>
      <c r="Y174" s="99"/>
    </row>
    <row r="175" ht="14.25" customHeight="1">
      <c r="B175" s="69"/>
      <c r="C175" s="91" t="s">
        <v>187</v>
      </c>
      <c r="D175" s="70"/>
      <c r="L175" s="61"/>
      <c r="M175" s="62"/>
      <c r="N175" s="63"/>
      <c r="O175" s="62"/>
      <c r="P175" s="63"/>
      <c r="Q175" s="62"/>
      <c r="R175" s="64"/>
      <c r="S175" s="68">
        <v>21.0</v>
      </c>
      <c r="T175" s="64">
        <v>10.0</v>
      </c>
      <c r="U175" s="68">
        <v>21.0</v>
      </c>
      <c r="V175" s="64">
        <v>14.0</v>
      </c>
      <c r="W175" s="68">
        <f>IFERROR(__xludf.DUMMYFUNCTION("+SUM(S175:V175)"),66.0)</f>
        <v>66</v>
      </c>
      <c r="X175" s="64"/>
      <c r="Y175" s="65"/>
    </row>
    <row r="176" ht="14.25" customHeight="1">
      <c r="B176" s="69"/>
      <c r="C176" s="91" t="s">
        <v>164</v>
      </c>
      <c r="D176" s="70"/>
      <c r="L176" s="61"/>
      <c r="M176" s="62"/>
      <c r="N176" s="63"/>
      <c r="O176" s="62"/>
      <c r="P176" s="63"/>
      <c r="Q176" s="62"/>
      <c r="R176" s="64"/>
      <c r="S176" s="68">
        <v>0.0</v>
      </c>
      <c r="T176" s="64">
        <v>12.0</v>
      </c>
      <c r="U176" s="68">
        <v>10.0</v>
      </c>
      <c r="V176" s="64">
        <v>19.0</v>
      </c>
      <c r="W176" s="68">
        <f>IFERROR(__xludf.DUMMYFUNCTION("+SUM(S176:V176)"),41.0)</f>
        <v>41</v>
      </c>
      <c r="X176" s="64"/>
      <c r="Y176" s="65"/>
    </row>
    <row r="177" ht="14.25" customHeight="1">
      <c r="B177" s="69"/>
      <c r="C177" s="91" t="s">
        <v>165</v>
      </c>
      <c r="D177" s="70"/>
      <c r="L177" s="61"/>
      <c r="M177" s="62"/>
      <c r="N177" s="63"/>
      <c r="O177" s="62"/>
      <c r="P177" s="63"/>
      <c r="Q177" s="62"/>
      <c r="R177" s="64"/>
      <c r="S177" s="68">
        <v>0.0</v>
      </c>
      <c r="T177" s="64">
        <v>0.0</v>
      </c>
      <c r="U177" s="64">
        <v>0.0</v>
      </c>
      <c r="V177" s="64">
        <v>0.0</v>
      </c>
      <c r="W177" s="68">
        <f>IFERROR(__xludf.DUMMYFUNCTION("+SUM(S177:V177)"),0.0)</f>
        <v>0</v>
      </c>
      <c r="X177" s="64"/>
      <c r="Y177" s="65"/>
    </row>
    <row r="178" ht="14.25" customHeight="1">
      <c r="B178" s="69"/>
      <c r="C178" s="91" t="s">
        <v>166</v>
      </c>
      <c r="D178" s="70"/>
      <c r="L178" s="61"/>
      <c r="M178" s="62"/>
      <c r="N178" s="63"/>
      <c r="O178" s="62"/>
      <c r="P178" s="63"/>
      <c r="Q178" s="62"/>
      <c r="R178" s="64"/>
      <c r="S178" s="68">
        <v>0.0</v>
      </c>
      <c r="T178" s="64">
        <v>0.0</v>
      </c>
      <c r="U178" s="64">
        <v>0.0</v>
      </c>
      <c r="V178" s="64">
        <v>0.0</v>
      </c>
      <c r="W178" s="68">
        <f>IFERROR(__xludf.DUMMYFUNCTION("+SUM(S178:V178)"),0.0)</f>
        <v>0</v>
      </c>
      <c r="X178" s="64"/>
      <c r="Y178" s="65"/>
    </row>
    <row r="179" ht="14.25" customHeight="1">
      <c r="B179" s="69"/>
      <c r="C179" s="91" t="s">
        <v>188</v>
      </c>
      <c r="D179" s="70"/>
      <c r="L179" s="61"/>
      <c r="M179" s="62"/>
      <c r="N179" s="63"/>
      <c r="O179" s="62"/>
      <c r="P179" s="63"/>
      <c r="Q179" s="62"/>
      <c r="R179" s="64"/>
      <c r="S179" s="68">
        <v>0.0</v>
      </c>
      <c r="T179" s="64">
        <v>0.0</v>
      </c>
      <c r="U179" s="64">
        <v>0.0</v>
      </c>
      <c r="V179" s="64">
        <v>0.0</v>
      </c>
      <c r="W179" s="68">
        <f>IFERROR(__xludf.DUMMYFUNCTION("+SUM(S179:V179)"),0.0)</f>
        <v>0</v>
      </c>
      <c r="X179" s="64"/>
      <c r="Y179" s="65"/>
    </row>
    <row r="180" ht="14.25" customHeight="1">
      <c r="B180" s="69">
        <v>2.17</v>
      </c>
      <c r="C180" s="91" t="s">
        <v>189</v>
      </c>
      <c r="D180" s="70"/>
      <c r="L180" s="61"/>
      <c r="M180" s="62"/>
      <c r="N180" s="64" t="s">
        <v>131</v>
      </c>
      <c r="O180" s="68" t="s">
        <v>131</v>
      </c>
      <c r="P180" s="64" t="s">
        <v>131</v>
      </c>
      <c r="Q180" s="68" t="s">
        <v>131</v>
      </c>
      <c r="R180" s="64" t="s">
        <v>131</v>
      </c>
      <c r="S180" s="68"/>
      <c r="T180" s="64"/>
      <c r="U180" s="68"/>
      <c r="V180" s="64"/>
      <c r="W180" s="68">
        <f>SUM(W181:W189)</f>
        <v>346</v>
      </c>
      <c r="X180" s="64"/>
      <c r="Y180" s="65"/>
    </row>
    <row r="181" ht="14.25" customHeight="1">
      <c r="B181" s="69"/>
      <c r="C181" s="91" t="s">
        <v>190</v>
      </c>
      <c r="D181" s="70"/>
      <c r="L181" s="61"/>
      <c r="M181" s="62"/>
      <c r="N181" s="64"/>
      <c r="O181" s="68"/>
      <c r="P181" s="64"/>
      <c r="Q181" s="68"/>
      <c r="R181" s="64"/>
      <c r="S181" s="68">
        <v>1.0</v>
      </c>
      <c r="T181" s="64">
        <v>1.0</v>
      </c>
      <c r="U181" s="68">
        <v>1.0</v>
      </c>
      <c r="V181" s="64">
        <v>4.0</v>
      </c>
      <c r="W181" s="68">
        <f t="shared" ref="W181:W189" si="9">SUM(S181:V181)</f>
        <v>7</v>
      </c>
      <c r="X181" s="64"/>
      <c r="Y181" s="65"/>
    </row>
    <row r="182" ht="14.25" customHeight="1">
      <c r="B182" s="69"/>
      <c r="C182" s="91" t="s">
        <v>191</v>
      </c>
      <c r="D182" s="70"/>
      <c r="L182" s="61"/>
      <c r="M182" s="62"/>
      <c r="N182" s="64"/>
      <c r="O182" s="68"/>
      <c r="P182" s="64"/>
      <c r="Q182" s="68"/>
      <c r="R182" s="64"/>
      <c r="S182" s="68">
        <v>4.0</v>
      </c>
      <c r="T182" s="64">
        <v>3.0</v>
      </c>
      <c r="U182" s="68">
        <v>10.0</v>
      </c>
      <c r="V182" s="64">
        <v>41.0</v>
      </c>
      <c r="W182" s="68">
        <f t="shared" si="9"/>
        <v>58</v>
      </c>
      <c r="X182" s="64"/>
      <c r="Y182" s="65"/>
    </row>
    <row r="183" ht="14.25" customHeight="1">
      <c r="B183" s="69"/>
      <c r="C183" s="91" t="s">
        <v>192</v>
      </c>
      <c r="D183" s="70"/>
      <c r="L183" s="61"/>
      <c r="M183" s="62"/>
      <c r="N183" s="64"/>
      <c r="O183" s="68"/>
      <c r="P183" s="64"/>
      <c r="Q183" s="68"/>
      <c r="R183" s="64"/>
      <c r="S183" s="68">
        <v>7.0</v>
      </c>
      <c r="T183" s="64">
        <v>21.0</v>
      </c>
      <c r="U183" s="68">
        <v>8.0</v>
      </c>
      <c r="V183" s="64">
        <v>20.0</v>
      </c>
      <c r="W183" s="68">
        <f t="shared" si="9"/>
        <v>56</v>
      </c>
      <c r="X183" s="64"/>
      <c r="Y183" s="65"/>
    </row>
    <row r="184" ht="14.25" customHeight="1">
      <c r="B184" s="69"/>
      <c r="C184" s="91" t="s">
        <v>193</v>
      </c>
      <c r="D184" s="70"/>
      <c r="L184" s="61"/>
      <c r="M184" s="62"/>
      <c r="N184" s="64"/>
      <c r="O184" s="68"/>
      <c r="P184" s="64"/>
      <c r="Q184" s="68"/>
      <c r="R184" s="64"/>
      <c r="S184" s="68">
        <v>3.0</v>
      </c>
      <c r="T184" s="64">
        <v>7.0</v>
      </c>
      <c r="U184" s="68">
        <v>3.0</v>
      </c>
      <c r="V184" s="64">
        <v>13.0</v>
      </c>
      <c r="W184" s="68">
        <f t="shared" si="9"/>
        <v>26</v>
      </c>
      <c r="X184" s="64"/>
      <c r="Y184" s="65"/>
    </row>
    <row r="185" ht="14.25" customHeight="1">
      <c r="B185" s="69"/>
      <c r="C185" s="91" t="s">
        <v>194</v>
      </c>
      <c r="D185" s="70"/>
      <c r="L185" s="61"/>
      <c r="M185" s="62"/>
      <c r="N185" s="64"/>
      <c r="O185" s="68"/>
      <c r="P185" s="64"/>
      <c r="Q185" s="68"/>
      <c r="R185" s="64"/>
      <c r="S185" s="68">
        <v>0.0</v>
      </c>
      <c r="T185" s="64">
        <v>2.0</v>
      </c>
      <c r="U185" s="68">
        <v>1.0</v>
      </c>
      <c r="V185" s="64">
        <v>3.0</v>
      </c>
      <c r="W185" s="68">
        <f t="shared" si="9"/>
        <v>6</v>
      </c>
      <c r="X185" s="64"/>
      <c r="Y185" s="65"/>
    </row>
    <row r="186" ht="14.25" customHeight="1">
      <c r="B186" s="69"/>
      <c r="C186" s="91" t="s">
        <v>195</v>
      </c>
      <c r="D186" s="70"/>
      <c r="L186" s="61"/>
      <c r="M186" s="62"/>
      <c r="N186" s="64"/>
      <c r="O186" s="68"/>
      <c r="P186" s="64"/>
      <c r="Q186" s="68"/>
      <c r="R186" s="64"/>
      <c r="S186" s="68">
        <v>8.0</v>
      </c>
      <c r="T186" s="64">
        <v>6.0</v>
      </c>
      <c r="U186" s="68">
        <v>1.0</v>
      </c>
      <c r="V186" s="64">
        <v>34.0</v>
      </c>
      <c r="W186" s="68">
        <f t="shared" si="9"/>
        <v>49</v>
      </c>
      <c r="X186" s="64"/>
      <c r="Y186" s="65"/>
    </row>
    <row r="187" ht="14.25" customHeight="1">
      <c r="B187" s="69"/>
      <c r="C187" s="91" t="s">
        <v>196</v>
      </c>
      <c r="D187" s="70"/>
      <c r="L187" s="61"/>
      <c r="M187" s="62"/>
      <c r="N187" s="64"/>
      <c r="O187" s="68"/>
      <c r="P187" s="64"/>
      <c r="Q187" s="68"/>
      <c r="R187" s="64"/>
      <c r="S187" s="68">
        <v>2.0</v>
      </c>
      <c r="T187" s="64">
        <v>12.0</v>
      </c>
      <c r="U187" s="68">
        <v>16.0</v>
      </c>
      <c r="V187" s="64">
        <v>10.0</v>
      </c>
      <c r="W187" s="68">
        <f t="shared" si="9"/>
        <v>40</v>
      </c>
      <c r="X187" s="64"/>
      <c r="Y187" s="65"/>
    </row>
    <row r="188" ht="14.25" customHeight="1">
      <c r="B188" s="69"/>
      <c r="C188" s="91" t="s">
        <v>197</v>
      </c>
      <c r="D188" s="70"/>
      <c r="L188" s="61"/>
      <c r="M188" s="62"/>
      <c r="N188" s="64"/>
      <c r="O188" s="68"/>
      <c r="P188" s="64"/>
      <c r="Q188" s="68"/>
      <c r="R188" s="64"/>
      <c r="S188" s="68">
        <v>8.0</v>
      </c>
      <c r="T188" s="64">
        <v>11.0</v>
      </c>
      <c r="U188" s="68">
        <v>11.0</v>
      </c>
      <c r="V188" s="64">
        <v>73.0</v>
      </c>
      <c r="W188" s="68">
        <f t="shared" si="9"/>
        <v>103</v>
      </c>
      <c r="X188" s="64"/>
      <c r="Y188" s="65"/>
    </row>
    <row r="189" ht="14.25" customHeight="1">
      <c r="B189" s="69"/>
      <c r="C189" s="91" t="s">
        <v>198</v>
      </c>
      <c r="D189" s="70"/>
      <c r="L189" s="61"/>
      <c r="M189" s="62"/>
      <c r="N189" s="64"/>
      <c r="O189" s="68"/>
      <c r="P189" s="64"/>
      <c r="Q189" s="68"/>
      <c r="R189" s="64"/>
      <c r="S189" s="68">
        <v>0.0</v>
      </c>
      <c r="T189" s="64">
        <v>0.0</v>
      </c>
      <c r="U189" s="68">
        <v>1.0</v>
      </c>
      <c r="V189" s="64">
        <v>0.0</v>
      </c>
      <c r="W189" s="68">
        <f t="shared" si="9"/>
        <v>1</v>
      </c>
      <c r="X189" s="64"/>
      <c r="Y189" s="65"/>
    </row>
    <row r="190" ht="14.25" customHeight="1">
      <c r="B190" s="69"/>
      <c r="C190" s="70"/>
      <c r="D190" s="70"/>
      <c r="E190" s="77"/>
      <c r="L190" s="61"/>
      <c r="M190" s="62"/>
      <c r="N190" s="63"/>
      <c r="O190" s="62"/>
      <c r="P190" s="63"/>
      <c r="Q190" s="62"/>
      <c r="R190" s="63"/>
      <c r="S190" s="68"/>
      <c r="T190" s="64"/>
      <c r="U190" s="68"/>
      <c r="V190" s="64"/>
      <c r="W190" s="68"/>
      <c r="X190" s="64"/>
      <c r="Y190" s="65"/>
    </row>
    <row r="191" ht="14.25" customHeight="1">
      <c r="B191" s="148" t="s">
        <v>199</v>
      </c>
      <c r="C191" s="183"/>
      <c r="D191" s="70"/>
      <c r="E191" s="70"/>
      <c r="L191" s="61"/>
      <c r="M191" s="62"/>
      <c r="N191" s="63"/>
      <c r="O191" s="62"/>
      <c r="P191" s="63"/>
      <c r="Q191" s="62"/>
      <c r="R191" s="63"/>
      <c r="S191" s="68"/>
      <c r="T191" s="64"/>
      <c r="U191" s="68"/>
      <c r="V191" s="64"/>
      <c r="W191" s="68"/>
      <c r="X191" s="64"/>
      <c r="Y191" s="65"/>
    </row>
    <row r="192" ht="14.25" customHeight="1">
      <c r="B192" s="150" t="s">
        <v>200</v>
      </c>
      <c r="C192" s="179"/>
      <c r="D192" s="179"/>
      <c r="E192" s="179"/>
      <c r="F192" s="67"/>
      <c r="L192" s="61"/>
      <c r="M192" s="62"/>
      <c r="N192" s="63"/>
      <c r="O192" s="62"/>
      <c r="P192" s="63"/>
      <c r="Q192" s="62"/>
      <c r="R192" s="63"/>
      <c r="S192" s="68"/>
      <c r="T192" s="64"/>
      <c r="U192" s="68"/>
      <c r="V192" s="64"/>
      <c r="W192" s="68"/>
      <c r="X192" s="64"/>
      <c r="Y192" s="65"/>
    </row>
    <row r="193" ht="14.25" customHeight="1">
      <c r="B193" s="148" t="s">
        <v>28</v>
      </c>
      <c r="C193" s="70"/>
      <c r="D193" s="70"/>
      <c r="L193" s="61"/>
      <c r="M193" s="62"/>
      <c r="N193" s="63"/>
      <c r="O193" s="62"/>
      <c r="P193" s="63"/>
      <c r="Q193" s="62"/>
      <c r="R193" s="63"/>
      <c r="S193" s="68"/>
      <c r="T193" s="64"/>
      <c r="U193" s="68"/>
      <c r="V193" s="64"/>
      <c r="W193" s="68"/>
      <c r="X193" s="64"/>
      <c r="Y193" s="65"/>
    </row>
    <row r="194" ht="14.25" customHeight="1">
      <c r="A194" s="105"/>
      <c r="B194" s="96">
        <v>3.1</v>
      </c>
      <c r="C194" s="97" t="s">
        <v>201</v>
      </c>
      <c r="D194" s="97"/>
      <c r="E194" s="105"/>
      <c r="F194" s="105"/>
      <c r="G194" s="105"/>
      <c r="H194" s="105"/>
      <c r="I194" s="105"/>
      <c r="J194" s="105"/>
      <c r="K194" s="105"/>
      <c r="L194" s="107"/>
      <c r="M194" s="108"/>
      <c r="N194" s="169">
        <v>1.0</v>
      </c>
      <c r="O194" s="203">
        <v>1.0</v>
      </c>
      <c r="P194" s="169">
        <v>1.0</v>
      </c>
      <c r="Q194" s="203">
        <v>1.0</v>
      </c>
      <c r="R194" s="169">
        <v>1.0</v>
      </c>
      <c r="S194" s="203">
        <v>1.0</v>
      </c>
      <c r="T194" s="169">
        <v>1.0</v>
      </c>
      <c r="U194" s="203">
        <v>1.0</v>
      </c>
      <c r="V194" s="169">
        <v>1.0</v>
      </c>
      <c r="W194" s="203">
        <f>IFERROR(__xludf.DUMMYFUNCTION("+S194"),1.0)</f>
        <v>1</v>
      </c>
      <c r="X194" s="169">
        <f>IFERROR(__xludf.DUMMYFUNCTION("+W194-R194"),0.0)</f>
        <v>0</v>
      </c>
      <c r="Y194" s="99"/>
      <c r="Z194" s="105"/>
      <c r="AA194" s="105"/>
      <c r="AB194" s="105"/>
      <c r="AC194" s="105"/>
      <c r="AD194" s="105"/>
      <c r="AE194" s="105"/>
    </row>
    <row r="195" ht="14.25" customHeight="1">
      <c r="B195" s="148" t="s">
        <v>49</v>
      </c>
      <c r="C195" s="70"/>
      <c r="D195" s="197"/>
      <c r="L195" s="61"/>
      <c r="M195" s="62"/>
      <c r="N195" s="63"/>
      <c r="O195" s="62"/>
      <c r="P195" s="63"/>
      <c r="Q195" s="62"/>
      <c r="R195" s="63"/>
      <c r="S195" s="68"/>
      <c r="T195" s="64"/>
      <c r="U195" s="68"/>
      <c r="V195" s="114"/>
      <c r="W195" s="68"/>
      <c r="X195" s="64"/>
      <c r="Y195" s="65"/>
    </row>
    <row r="196" ht="14.25" customHeight="1">
      <c r="A196" s="105"/>
      <c r="B196" s="96">
        <v>3.1</v>
      </c>
      <c r="C196" s="97" t="s">
        <v>202</v>
      </c>
      <c r="D196" s="97"/>
      <c r="E196" s="97"/>
      <c r="F196" s="105"/>
      <c r="G196" s="105"/>
      <c r="H196" s="105"/>
      <c r="I196" s="105"/>
      <c r="J196" s="105"/>
      <c r="K196" s="105"/>
      <c r="L196" s="107"/>
      <c r="M196" s="108"/>
      <c r="N196" s="139"/>
      <c r="O196" s="140">
        <v>100.0</v>
      </c>
      <c r="P196" s="139"/>
      <c r="Q196" s="140"/>
      <c r="R196" s="139">
        <v>100.0</v>
      </c>
      <c r="S196" s="140">
        <v>73.0</v>
      </c>
      <c r="T196" s="139">
        <v>0.0</v>
      </c>
      <c r="U196" s="140">
        <v>0.0</v>
      </c>
      <c r="V196" s="139">
        <v>63.0</v>
      </c>
      <c r="W196" s="140">
        <f>SUM(S196:V196)</f>
        <v>136</v>
      </c>
      <c r="X196" s="139">
        <f>IFERROR(__xludf.DUMMYFUNCTION("+W196-R196"),36.0)</f>
        <v>36</v>
      </c>
      <c r="Y196" s="99"/>
      <c r="Z196" s="204"/>
      <c r="AA196" s="105"/>
      <c r="AB196" s="105"/>
      <c r="AC196" s="105"/>
      <c r="AD196" s="105"/>
      <c r="AE196" s="105"/>
    </row>
    <row r="197" ht="14.25" customHeight="1">
      <c r="A197" s="105"/>
      <c r="B197" s="96">
        <v>3.2</v>
      </c>
      <c r="C197" s="97" t="s">
        <v>203</v>
      </c>
      <c r="D197" s="97"/>
      <c r="E197" s="97"/>
      <c r="F197" s="105"/>
      <c r="G197" s="105"/>
      <c r="H197" s="105"/>
      <c r="I197" s="105"/>
      <c r="J197" s="105"/>
      <c r="K197" s="105"/>
      <c r="L197" s="107"/>
      <c r="M197" s="108"/>
      <c r="N197" s="139">
        <v>2.0</v>
      </c>
      <c r="O197" s="140">
        <v>2.0</v>
      </c>
      <c r="P197" s="139">
        <v>2.0</v>
      </c>
      <c r="Q197" s="140">
        <v>2.0</v>
      </c>
      <c r="R197" s="139">
        <v>2.0</v>
      </c>
      <c r="S197" s="140"/>
      <c r="T197" s="139">
        <v>2.0</v>
      </c>
      <c r="U197" s="140">
        <v>4.0</v>
      </c>
      <c r="V197" s="139">
        <v>4.0</v>
      </c>
      <c r="W197" s="140">
        <f>IFERROR(__xludf.DUMMYFUNCTION("+U197"),4.0)</f>
        <v>4</v>
      </c>
      <c r="X197" s="139">
        <f>IFERROR(__xludf.DUMMYFUNCTION("+W197-R197"),2.0)</f>
        <v>2</v>
      </c>
      <c r="Y197" s="99" t="s">
        <v>204</v>
      </c>
      <c r="Z197" s="204"/>
      <c r="AA197" s="105"/>
      <c r="AB197" s="105"/>
      <c r="AC197" s="105"/>
      <c r="AD197" s="105"/>
      <c r="AE197" s="105"/>
    </row>
    <row r="198" ht="14.25" customHeight="1">
      <c r="B198" s="174">
        <v>3.3</v>
      </c>
      <c r="C198" s="205" t="s">
        <v>205</v>
      </c>
      <c r="D198" s="197"/>
      <c r="L198" s="61"/>
      <c r="M198" s="62"/>
      <c r="N198" s="139"/>
      <c r="O198" s="140">
        <v>43500.0</v>
      </c>
      <c r="P198" s="139"/>
      <c r="Q198" s="140">
        <v>35314.0</v>
      </c>
      <c r="R198" s="98">
        <v>78814.0</v>
      </c>
      <c r="S198" s="140"/>
      <c r="T198" s="98">
        <v>9900.0</v>
      </c>
      <c r="U198" s="98">
        <v>34138.0</v>
      </c>
      <c r="V198" s="98">
        <v>43381.0</v>
      </c>
      <c r="W198" s="195">
        <f>IFERROR(__xludf.DUMMYFUNCTION("+SUM(S198:V198)"),87419.0)</f>
        <v>87419</v>
      </c>
      <c r="X198" s="98">
        <f>IFERROR(__xludf.DUMMYFUNCTION("+W198-R198"),8605.0)</f>
        <v>8605</v>
      </c>
      <c r="Y198" s="95"/>
      <c r="Z198" s="206"/>
    </row>
    <row r="199" ht="14.25" customHeight="1">
      <c r="A199" s="105"/>
      <c r="B199" s="96">
        <v>3.4</v>
      </c>
      <c r="C199" s="200" t="s">
        <v>206</v>
      </c>
      <c r="D199" s="186"/>
      <c r="E199" s="207"/>
      <c r="F199" s="105"/>
      <c r="G199" s="105"/>
      <c r="H199" s="105"/>
      <c r="I199" s="105"/>
      <c r="J199" s="105"/>
      <c r="K199" s="105"/>
      <c r="L199" s="107"/>
      <c r="M199" s="108"/>
      <c r="N199" s="139" t="s">
        <v>131</v>
      </c>
      <c r="O199" s="140" t="s">
        <v>131</v>
      </c>
      <c r="P199" s="139" t="s">
        <v>131</v>
      </c>
      <c r="Q199" s="140" t="s">
        <v>131</v>
      </c>
      <c r="R199" s="139" t="s">
        <v>131</v>
      </c>
      <c r="S199" s="140">
        <v>2.0</v>
      </c>
      <c r="T199" s="139">
        <v>57.0</v>
      </c>
      <c r="U199" s="140">
        <v>18.0</v>
      </c>
      <c r="V199" s="139">
        <v>5.0</v>
      </c>
      <c r="W199" s="140">
        <f t="shared" ref="W199:W200" si="10">SUM(S199:V199)</f>
        <v>82</v>
      </c>
      <c r="X199" s="139"/>
      <c r="Y199" s="99" t="s">
        <v>207</v>
      </c>
      <c r="Z199" s="204"/>
      <c r="AA199" s="105"/>
      <c r="AB199" s="105"/>
      <c r="AC199" s="105"/>
      <c r="AD199" s="105"/>
      <c r="AE199" s="105"/>
    </row>
    <row r="200" ht="14.25" customHeight="1">
      <c r="B200" s="96">
        <v>3.5</v>
      </c>
      <c r="C200" s="97" t="s">
        <v>208</v>
      </c>
      <c r="D200" s="97"/>
      <c r="E200" s="105"/>
      <c r="F200" s="105"/>
      <c r="G200" s="105"/>
      <c r="H200" s="105"/>
      <c r="I200" s="105"/>
      <c r="J200" s="105"/>
      <c r="K200" s="105"/>
      <c r="L200" s="107"/>
      <c r="M200" s="108"/>
      <c r="N200" s="98" t="s">
        <v>131</v>
      </c>
      <c r="O200" s="140" t="s">
        <v>131</v>
      </c>
      <c r="P200" s="139" t="s">
        <v>131</v>
      </c>
      <c r="Q200" s="140" t="s">
        <v>131</v>
      </c>
      <c r="R200" s="139" t="s">
        <v>131</v>
      </c>
      <c r="S200" s="195">
        <v>135.0</v>
      </c>
      <c r="T200" s="139">
        <v>198.0</v>
      </c>
      <c r="U200" s="140">
        <v>679.0</v>
      </c>
      <c r="V200" s="139">
        <v>803.0</v>
      </c>
      <c r="W200" s="195">
        <f t="shared" si="10"/>
        <v>1815</v>
      </c>
      <c r="X200" s="139"/>
      <c r="Y200" s="95" t="s">
        <v>209</v>
      </c>
      <c r="Z200" s="206"/>
    </row>
    <row r="201" ht="14.25" customHeight="1">
      <c r="B201" s="69">
        <v>3.6</v>
      </c>
      <c r="C201" s="70" t="s">
        <v>210</v>
      </c>
      <c r="D201" s="70"/>
      <c r="L201" s="61"/>
      <c r="M201" s="62"/>
      <c r="N201" s="83" t="s">
        <v>131</v>
      </c>
      <c r="O201" s="68" t="s">
        <v>131</v>
      </c>
      <c r="P201" s="64" t="s">
        <v>131</v>
      </c>
      <c r="Q201" s="68" t="s">
        <v>131</v>
      </c>
      <c r="R201" s="64" t="s">
        <v>131</v>
      </c>
      <c r="S201" s="68"/>
      <c r="T201" s="64"/>
      <c r="U201" s="68"/>
      <c r="V201" s="64"/>
      <c r="W201" s="68"/>
      <c r="X201" s="64"/>
      <c r="Y201" s="89" t="s">
        <v>211</v>
      </c>
      <c r="Z201" s="206"/>
    </row>
    <row r="202" ht="14.25" customHeight="1">
      <c r="B202" s="69"/>
      <c r="C202" s="70" t="s">
        <v>212</v>
      </c>
      <c r="D202" s="70"/>
      <c r="L202" s="61"/>
      <c r="M202" s="62"/>
      <c r="N202" s="64"/>
      <c r="O202" s="68"/>
      <c r="P202" s="64"/>
      <c r="Q202" s="68"/>
      <c r="R202" s="64"/>
      <c r="S202" s="68"/>
      <c r="T202" s="64"/>
      <c r="U202" s="68"/>
      <c r="V202" s="64"/>
      <c r="W202" s="68"/>
      <c r="X202" s="64"/>
      <c r="Y202" s="89"/>
      <c r="Z202" s="206"/>
    </row>
    <row r="203" ht="14.25" customHeight="1">
      <c r="B203" s="69"/>
      <c r="C203" s="91" t="s">
        <v>213</v>
      </c>
      <c r="D203" s="183"/>
      <c r="E203" s="70"/>
      <c r="L203" s="61"/>
      <c r="M203" s="62"/>
      <c r="N203" s="63"/>
      <c r="O203" s="62"/>
      <c r="P203" s="63"/>
      <c r="Q203" s="62"/>
      <c r="R203" s="63"/>
      <c r="S203" s="68"/>
      <c r="T203" s="64"/>
      <c r="U203" s="68"/>
      <c r="V203" s="64"/>
      <c r="W203" s="68"/>
      <c r="X203" s="64"/>
      <c r="Y203" s="65"/>
    </row>
    <row r="204" ht="14.25" customHeight="1">
      <c r="B204" s="69"/>
      <c r="C204" s="70" t="s">
        <v>214</v>
      </c>
      <c r="D204" s="168"/>
      <c r="L204" s="61"/>
      <c r="M204" s="62"/>
      <c r="N204" s="63"/>
      <c r="O204" s="62"/>
      <c r="P204" s="63"/>
      <c r="Q204" s="62"/>
      <c r="R204" s="63"/>
      <c r="S204" s="68"/>
      <c r="T204" s="64"/>
      <c r="U204" s="68"/>
      <c r="V204" s="64"/>
      <c r="W204" s="68"/>
      <c r="X204" s="64"/>
      <c r="Y204" s="65"/>
    </row>
    <row r="205" ht="14.25" customHeight="1">
      <c r="B205" s="69"/>
      <c r="C205" s="70"/>
      <c r="D205" s="77"/>
      <c r="E205" s="77"/>
      <c r="L205" s="61"/>
      <c r="M205" s="62"/>
      <c r="N205" s="63"/>
      <c r="O205" s="62"/>
      <c r="P205" s="63"/>
      <c r="Q205" s="62"/>
      <c r="R205" s="63"/>
      <c r="S205" s="68"/>
      <c r="T205" s="64"/>
      <c r="U205" s="68"/>
      <c r="V205" s="64"/>
      <c r="W205" s="68"/>
      <c r="X205" s="64"/>
      <c r="Y205" s="65"/>
    </row>
    <row r="206" ht="14.25" customHeight="1">
      <c r="B206" s="148" t="s">
        <v>215</v>
      </c>
      <c r="C206" s="70"/>
      <c r="D206" s="70"/>
      <c r="E206" s="70"/>
      <c r="L206" s="61"/>
      <c r="M206" s="62"/>
      <c r="N206" s="63"/>
      <c r="O206" s="62"/>
      <c r="P206" s="63"/>
      <c r="Q206" s="62"/>
      <c r="R206" s="63"/>
      <c r="S206" s="68"/>
      <c r="T206" s="64"/>
      <c r="U206" s="68"/>
      <c r="V206" s="64"/>
      <c r="W206" s="68"/>
      <c r="X206" s="64"/>
      <c r="Y206" s="65"/>
    </row>
    <row r="207" ht="14.25" customHeight="1">
      <c r="B207" s="148" t="s">
        <v>216</v>
      </c>
      <c r="C207" s="70"/>
      <c r="D207" s="70"/>
      <c r="E207" s="70"/>
      <c r="L207" s="61"/>
      <c r="M207" s="62"/>
      <c r="N207" s="63"/>
      <c r="O207" s="62"/>
      <c r="P207" s="63"/>
      <c r="Q207" s="62"/>
      <c r="R207" s="63"/>
      <c r="S207" s="68"/>
      <c r="T207" s="64"/>
      <c r="U207" s="68"/>
      <c r="V207" s="64"/>
      <c r="W207" s="68"/>
      <c r="X207" s="64"/>
      <c r="Y207" s="65"/>
    </row>
    <row r="208" ht="14.25" customHeight="1">
      <c r="B208" s="148" t="s">
        <v>28</v>
      </c>
      <c r="C208" s="70"/>
      <c r="D208" s="70"/>
      <c r="E208" s="70"/>
      <c r="L208" s="61"/>
      <c r="M208" s="62"/>
      <c r="N208" s="63"/>
      <c r="O208" s="62"/>
      <c r="P208" s="63"/>
      <c r="Q208" s="62"/>
      <c r="R208" s="63"/>
      <c r="S208" s="68"/>
      <c r="T208" s="64"/>
      <c r="U208" s="68"/>
      <c r="V208" s="64"/>
      <c r="W208" s="68"/>
      <c r="X208" s="64"/>
      <c r="Y208" s="65"/>
    </row>
    <row r="209" ht="14.25" customHeight="1">
      <c r="B209" s="69">
        <v>4.1</v>
      </c>
      <c r="C209" s="91" t="s">
        <v>217</v>
      </c>
      <c r="D209" s="70"/>
      <c r="E209" s="70"/>
      <c r="L209" s="61"/>
      <c r="M209" s="62"/>
      <c r="N209" s="63"/>
      <c r="O209" s="62"/>
      <c r="P209" s="63"/>
      <c r="Q209" s="62"/>
      <c r="R209" s="63"/>
      <c r="S209" s="68"/>
      <c r="T209" s="64"/>
      <c r="U209" s="68"/>
      <c r="V209" s="64"/>
      <c r="W209" s="68"/>
      <c r="X209" s="64"/>
      <c r="Y209" s="65"/>
    </row>
    <row r="210" ht="14.25" customHeight="1">
      <c r="B210" s="69"/>
      <c r="C210" s="91" t="s">
        <v>218</v>
      </c>
      <c r="D210" s="70"/>
      <c r="E210" s="70"/>
      <c r="L210" s="61"/>
      <c r="M210" s="62"/>
      <c r="N210" s="114">
        <v>0.2</v>
      </c>
      <c r="O210" s="115">
        <v>0.2</v>
      </c>
      <c r="P210" s="114">
        <v>0.2</v>
      </c>
      <c r="Q210" s="115">
        <v>0.2</v>
      </c>
      <c r="R210" s="114">
        <v>0.2</v>
      </c>
      <c r="S210" s="145">
        <v>0.3319</v>
      </c>
      <c r="T210" s="92">
        <v>0.3363</v>
      </c>
      <c r="U210" s="145">
        <v>0.2212</v>
      </c>
      <c r="V210" s="92">
        <v>0.2212</v>
      </c>
      <c r="W210" s="145">
        <f>IFERROR(__xludf.DUMMYFUNCTION("+V210"),0.2212)</f>
        <v>0.2212</v>
      </c>
      <c r="X210" s="92">
        <f>IFERROR(__xludf.DUMMYFUNCTION("+W210-R210"),0.021199999999999997)</f>
        <v>0.0212</v>
      </c>
      <c r="Y210" s="99"/>
    </row>
    <row r="211" ht="14.25" hidden="1" customHeight="1">
      <c r="B211" s="69"/>
      <c r="C211" s="91" t="s">
        <v>219</v>
      </c>
      <c r="D211" s="70"/>
      <c r="E211" s="70"/>
      <c r="L211" s="61"/>
      <c r="M211" s="62"/>
      <c r="N211" s="114"/>
      <c r="O211" s="115"/>
      <c r="P211" s="114"/>
      <c r="Q211" s="115"/>
      <c r="R211" s="114"/>
      <c r="S211" s="145"/>
      <c r="T211" s="92"/>
      <c r="U211" s="68"/>
      <c r="V211" s="92"/>
      <c r="W211" s="145"/>
      <c r="X211" s="92"/>
      <c r="Y211" s="65"/>
    </row>
    <row r="212" ht="14.25" hidden="1" customHeight="1">
      <c r="B212" s="69"/>
      <c r="C212" s="91" t="s">
        <v>220</v>
      </c>
      <c r="D212" s="77"/>
      <c r="E212" s="70"/>
      <c r="L212" s="61"/>
      <c r="M212" s="62"/>
      <c r="N212" s="114"/>
      <c r="O212" s="115"/>
      <c r="P212" s="114"/>
      <c r="Q212" s="115"/>
      <c r="R212" s="114">
        <v>0.2</v>
      </c>
      <c r="S212" s="145"/>
      <c r="T212" s="92">
        <v>0.4667</v>
      </c>
      <c r="U212" s="145"/>
      <c r="V212" s="92"/>
      <c r="W212" s="145">
        <f>IFERROR(__xludf.DUMMYFUNCTION("+T212"),0.4667)</f>
        <v>0.4667</v>
      </c>
      <c r="X212" s="92">
        <f>IFERROR(__xludf.DUMMYFUNCTION("+W212-R212"),0.2667)</f>
        <v>0.2667</v>
      </c>
      <c r="Y212" s="65"/>
    </row>
    <row r="213" ht="14.25" hidden="1" customHeight="1">
      <c r="B213" s="69"/>
      <c r="C213" s="70" t="s">
        <v>221</v>
      </c>
      <c r="D213" s="144"/>
      <c r="E213" s="144"/>
      <c r="L213" s="61"/>
      <c r="M213" s="62"/>
      <c r="N213" s="114"/>
      <c r="O213" s="115"/>
      <c r="P213" s="114"/>
      <c r="Q213" s="115"/>
      <c r="R213" s="114"/>
      <c r="S213" s="145"/>
      <c r="T213" s="92"/>
      <c r="U213" s="68"/>
      <c r="V213" s="92"/>
      <c r="W213" s="145"/>
      <c r="X213" s="92"/>
      <c r="Y213" s="65"/>
    </row>
    <row r="214" ht="14.25" hidden="1" customHeight="1">
      <c r="B214" s="69"/>
      <c r="C214" s="91" t="s">
        <v>222</v>
      </c>
      <c r="D214" s="144"/>
      <c r="E214" s="144"/>
      <c r="L214" s="61"/>
      <c r="M214" s="62"/>
      <c r="N214" s="114"/>
      <c r="O214" s="115"/>
      <c r="P214" s="114"/>
      <c r="Q214" s="115"/>
      <c r="R214" s="114"/>
      <c r="S214" s="145"/>
      <c r="T214" s="92"/>
      <c r="U214" s="68"/>
      <c r="V214" s="92"/>
      <c r="W214" s="145"/>
      <c r="X214" s="92"/>
      <c r="Y214" s="65"/>
    </row>
    <row r="215" ht="14.25" hidden="1" customHeight="1">
      <c r="B215" s="69"/>
      <c r="C215" s="91" t="s">
        <v>223</v>
      </c>
      <c r="D215" s="70"/>
      <c r="L215" s="61"/>
      <c r="M215" s="62"/>
      <c r="N215" s="114"/>
      <c r="O215" s="115"/>
      <c r="P215" s="114"/>
      <c r="Q215" s="115"/>
      <c r="R215" s="114">
        <v>0.2</v>
      </c>
      <c r="S215" s="145"/>
      <c r="T215" s="92">
        <v>0.4434</v>
      </c>
      <c r="U215" s="145"/>
      <c r="V215" s="92"/>
      <c r="W215" s="145">
        <f>IFERROR(__xludf.DUMMYFUNCTION("+T215"),0.4434)</f>
        <v>0.4434</v>
      </c>
      <c r="X215" s="92">
        <f>IFERROR(__xludf.DUMMYFUNCTION("+W215-R215"),0.2434)</f>
        <v>0.2434</v>
      </c>
      <c r="Y215" s="99"/>
    </row>
    <row r="216" ht="14.25" customHeight="1">
      <c r="B216" s="148" t="s">
        <v>49</v>
      </c>
      <c r="C216" s="70"/>
      <c r="D216" s="77"/>
      <c r="E216" s="70"/>
      <c r="L216" s="61"/>
      <c r="M216" s="62"/>
      <c r="N216" s="114"/>
      <c r="O216" s="115"/>
      <c r="P216" s="114"/>
      <c r="Q216" s="115"/>
      <c r="R216" s="114"/>
      <c r="S216" s="68"/>
      <c r="T216" s="64"/>
      <c r="U216" s="68"/>
      <c r="V216" s="64"/>
      <c r="W216" s="68"/>
      <c r="X216" s="64"/>
      <c r="Y216" s="65"/>
    </row>
    <row r="217" ht="14.25" customHeight="1">
      <c r="B217" s="69">
        <v>4.1</v>
      </c>
      <c r="C217" s="91" t="s">
        <v>224</v>
      </c>
      <c r="D217" s="70"/>
      <c r="E217" s="70"/>
      <c r="L217" s="61"/>
      <c r="M217" s="62"/>
      <c r="N217" s="114"/>
      <c r="O217" s="115"/>
      <c r="P217" s="114"/>
      <c r="Q217" s="115"/>
      <c r="R217" s="114"/>
      <c r="S217" s="68"/>
      <c r="T217" s="64"/>
      <c r="U217" s="68"/>
      <c r="V217" s="64"/>
      <c r="W217" s="68"/>
      <c r="X217" s="64"/>
      <c r="Y217" s="65"/>
    </row>
    <row r="218" ht="14.25" customHeight="1">
      <c r="A218" s="105"/>
      <c r="B218" s="96"/>
      <c r="C218" s="200" t="s">
        <v>225</v>
      </c>
      <c r="D218" s="97"/>
      <c r="E218" s="97"/>
      <c r="F218" s="105"/>
      <c r="G218" s="105"/>
      <c r="H218" s="105"/>
      <c r="I218" s="105"/>
      <c r="J218" s="105"/>
      <c r="K218" s="105"/>
      <c r="L218" s="107"/>
      <c r="M218" s="108"/>
      <c r="N218" s="139">
        <v>2.0</v>
      </c>
      <c r="O218" s="140">
        <v>2.0</v>
      </c>
      <c r="P218" s="139">
        <v>3.0</v>
      </c>
      <c r="Q218" s="140">
        <v>3.0</v>
      </c>
      <c r="R218" s="139">
        <v>10.0</v>
      </c>
      <c r="S218" s="140">
        <v>0.0</v>
      </c>
      <c r="T218" s="139">
        <v>0.0</v>
      </c>
      <c r="U218" s="140">
        <v>5.0</v>
      </c>
      <c r="V218" s="139">
        <v>7.0</v>
      </c>
      <c r="W218" s="140">
        <f t="shared" ref="W218:W219" si="11">SUM(S218:V218)</f>
        <v>12</v>
      </c>
      <c r="X218" s="139">
        <f>IFERROR(__xludf.DUMMYFUNCTION("+W218-R218"),2.0)</f>
        <v>2</v>
      </c>
      <c r="Y218" s="99"/>
      <c r="Z218" s="105"/>
      <c r="AA218" s="105"/>
      <c r="AB218" s="105"/>
      <c r="AC218" s="105"/>
      <c r="AD218" s="105"/>
      <c r="AE218" s="105"/>
    </row>
    <row r="219" ht="14.25" customHeight="1">
      <c r="B219" s="69"/>
      <c r="C219" s="91" t="s">
        <v>226</v>
      </c>
      <c r="D219" s="70"/>
      <c r="E219" s="70"/>
      <c r="L219" s="61"/>
      <c r="M219" s="62"/>
      <c r="N219" s="64">
        <v>1.0</v>
      </c>
      <c r="O219" s="68">
        <v>1.0</v>
      </c>
      <c r="P219" s="64">
        <v>1.0</v>
      </c>
      <c r="Q219" s="68"/>
      <c r="R219" s="64">
        <v>3.0</v>
      </c>
      <c r="S219" s="68">
        <v>2.0</v>
      </c>
      <c r="T219" s="64">
        <v>1.0</v>
      </c>
      <c r="U219" s="68">
        <v>3.0</v>
      </c>
      <c r="V219" s="64">
        <v>0.0</v>
      </c>
      <c r="W219" s="68">
        <f t="shared" si="11"/>
        <v>6</v>
      </c>
      <c r="X219" s="64">
        <f>IFERROR(__xludf.DUMMYFUNCTION("+W219-R219"),3.0)</f>
        <v>3</v>
      </c>
      <c r="Y219" s="99"/>
    </row>
    <row r="220" ht="14.25" customHeight="1">
      <c r="B220" s="69"/>
      <c r="C220" s="91" t="s">
        <v>227</v>
      </c>
      <c r="D220" s="70"/>
      <c r="E220" s="70"/>
      <c r="L220" s="61"/>
      <c r="M220" s="62"/>
      <c r="N220" s="64"/>
      <c r="O220" s="68"/>
      <c r="P220" s="64"/>
      <c r="Q220" s="68"/>
      <c r="R220" s="64"/>
      <c r="S220" s="68"/>
      <c r="T220" s="64"/>
      <c r="U220" s="68"/>
      <c r="V220" s="64"/>
      <c r="W220" s="68"/>
      <c r="X220" s="64"/>
      <c r="Y220" s="65"/>
    </row>
    <row r="221" ht="14.25" customHeight="1">
      <c r="B221" s="69"/>
      <c r="C221" s="91" t="s">
        <v>228</v>
      </c>
      <c r="D221" s="70"/>
      <c r="E221" s="70"/>
      <c r="L221" s="61"/>
      <c r="M221" s="62"/>
      <c r="N221" s="64">
        <v>0.0</v>
      </c>
      <c r="O221" s="68">
        <v>4.0</v>
      </c>
      <c r="P221" s="64">
        <v>2.0</v>
      </c>
      <c r="Q221" s="68">
        <v>5.0</v>
      </c>
      <c r="R221" s="64">
        <v>11.0</v>
      </c>
      <c r="S221" s="68">
        <v>0.0</v>
      </c>
      <c r="T221" s="64">
        <v>0.0</v>
      </c>
      <c r="U221" s="68">
        <v>1.0</v>
      </c>
      <c r="V221" s="64">
        <v>0.0</v>
      </c>
      <c r="W221" s="68">
        <f t="shared" ref="W221:W222" si="12">SUM(S221:V221)</f>
        <v>1</v>
      </c>
      <c r="X221" s="64"/>
      <c r="Y221" s="65"/>
    </row>
    <row r="222" ht="14.25" customHeight="1">
      <c r="B222" s="69"/>
      <c r="C222" s="91" t="s">
        <v>229</v>
      </c>
      <c r="D222" s="70"/>
      <c r="E222" s="70"/>
      <c r="L222" s="61"/>
      <c r="M222" s="62"/>
      <c r="N222" s="64">
        <v>0.0</v>
      </c>
      <c r="O222" s="68">
        <v>0.0</v>
      </c>
      <c r="P222" s="64">
        <v>0.0</v>
      </c>
      <c r="Q222" s="68">
        <v>0.0</v>
      </c>
      <c r="R222" s="64">
        <v>0.0</v>
      </c>
      <c r="S222" s="68">
        <v>0.0</v>
      </c>
      <c r="T222" s="64">
        <v>0.0</v>
      </c>
      <c r="U222" s="68">
        <v>0.0</v>
      </c>
      <c r="V222" s="64">
        <v>0.0</v>
      </c>
      <c r="W222" s="68">
        <f t="shared" si="12"/>
        <v>0</v>
      </c>
      <c r="X222" s="64"/>
      <c r="Y222" s="65"/>
    </row>
    <row r="223" ht="14.25" customHeight="1">
      <c r="B223" s="69"/>
      <c r="C223" s="91" t="s">
        <v>230</v>
      </c>
      <c r="D223" s="70"/>
      <c r="E223" s="70"/>
      <c r="L223" s="61"/>
      <c r="M223" s="62"/>
      <c r="N223" s="64">
        <v>0.0</v>
      </c>
      <c r="O223" s="68">
        <v>3.0</v>
      </c>
      <c r="P223" s="64">
        <v>1.0</v>
      </c>
      <c r="Q223" s="68">
        <v>3.0</v>
      </c>
      <c r="R223" s="64">
        <v>7.0</v>
      </c>
      <c r="S223" s="68">
        <v>0.0</v>
      </c>
      <c r="T223" s="64">
        <v>0.0</v>
      </c>
      <c r="U223" s="68">
        <v>1.0</v>
      </c>
      <c r="V223" s="64">
        <v>0.0</v>
      </c>
      <c r="W223" s="68">
        <f>IFERROR(__xludf.DUMMYFUNCTION("+V223"),0.0)</f>
        <v>0</v>
      </c>
      <c r="X223" s="64">
        <f>IFERROR(__xludf.DUMMYFUNCTION("+W223-R223"),-7.0)</f>
        <v>-7</v>
      </c>
      <c r="Y223" s="65"/>
    </row>
    <row r="224" ht="14.25" customHeight="1">
      <c r="B224" s="69"/>
      <c r="C224" s="91" t="s">
        <v>231</v>
      </c>
      <c r="D224" s="70"/>
      <c r="E224" s="70"/>
      <c r="L224" s="61"/>
      <c r="M224" s="62"/>
      <c r="N224" s="64">
        <v>0.0</v>
      </c>
      <c r="O224" s="68">
        <v>1.0</v>
      </c>
      <c r="P224" s="64">
        <v>1.0</v>
      </c>
      <c r="Q224" s="68">
        <v>2.0</v>
      </c>
      <c r="R224" s="64">
        <v>4.0</v>
      </c>
      <c r="S224" s="68">
        <v>0.0</v>
      </c>
      <c r="T224" s="64">
        <v>0.0</v>
      </c>
      <c r="U224" s="68">
        <v>0.0</v>
      </c>
      <c r="V224" s="64">
        <v>0.0</v>
      </c>
      <c r="W224" s="68">
        <f t="shared" ref="W224:W232" si="13">SUM(S224:V224)</f>
        <v>0</v>
      </c>
      <c r="X224" s="64">
        <f>IFERROR(__xludf.DUMMYFUNCTION("+W224-R224"),-4.0)</f>
        <v>-4</v>
      </c>
      <c r="Y224" s="65"/>
    </row>
    <row r="225" ht="14.25" customHeight="1">
      <c r="B225" s="69"/>
      <c r="C225" s="91" t="s">
        <v>232</v>
      </c>
      <c r="D225" s="144"/>
      <c r="E225" s="144"/>
      <c r="L225" s="61"/>
      <c r="M225" s="62"/>
      <c r="N225" s="64">
        <v>0.0</v>
      </c>
      <c r="O225" s="68">
        <v>2.0</v>
      </c>
      <c r="P225" s="64">
        <v>0.0</v>
      </c>
      <c r="Q225" s="68">
        <v>0.0</v>
      </c>
      <c r="R225" s="208">
        <v>2.0</v>
      </c>
      <c r="S225" s="209">
        <v>0.0</v>
      </c>
      <c r="T225" s="64">
        <v>0.0</v>
      </c>
      <c r="U225" s="68">
        <v>0.0</v>
      </c>
      <c r="V225" s="64">
        <v>0.0</v>
      </c>
      <c r="W225" s="209">
        <f t="shared" si="13"/>
        <v>0</v>
      </c>
      <c r="X225" s="64"/>
      <c r="Y225" s="65"/>
    </row>
    <row r="226" ht="14.25" customHeight="1">
      <c r="B226" s="69"/>
      <c r="C226" s="91" t="s">
        <v>233</v>
      </c>
      <c r="D226" s="70"/>
      <c r="L226" s="61"/>
      <c r="M226" s="62"/>
      <c r="N226" s="64">
        <v>0.0</v>
      </c>
      <c r="O226" s="68">
        <v>0.0</v>
      </c>
      <c r="P226" s="64">
        <v>0.0</v>
      </c>
      <c r="Q226" s="68">
        <v>0.0</v>
      </c>
      <c r="R226" s="208">
        <v>0.0</v>
      </c>
      <c r="S226" s="209">
        <v>0.0</v>
      </c>
      <c r="T226" s="64">
        <v>0.0</v>
      </c>
      <c r="U226" s="68">
        <v>0.0</v>
      </c>
      <c r="V226" s="64">
        <v>0.0</v>
      </c>
      <c r="W226" s="209">
        <f t="shared" si="13"/>
        <v>0</v>
      </c>
      <c r="X226" s="64"/>
      <c r="Y226" s="65"/>
    </row>
    <row r="227" ht="14.25" customHeight="1">
      <c r="B227" s="69"/>
      <c r="C227" s="91" t="s">
        <v>234</v>
      </c>
      <c r="D227" s="70"/>
      <c r="E227" s="70"/>
      <c r="L227" s="61"/>
      <c r="M227" s="62"/>
      <c r="N227" s="64">
        <v>0.0</v>
      </c>
      <c r="O227" s="68">
        <v>1.0</v>
      </c>
      <c r="P227" s="64">
        <v>0.0</v>
      </c>
      <c r="Q227" s="68">
        <v>0.0</v>
      </c>
      <c r="R227" s="208">
        <v>1.0</v>
      </c>
      <c r="S227" s="209" t="s">
        <v>235</v>
      </c>
      <c r="T227" s="64">
        <v>0.0</v>
      </c>
      <c r="U227" s="68">
        <v>0.0</v>
      </c>
      <c r="V227" s="64">
        <v>0.0</v>
      </c>
      <c r="W227" s="209">
        <f t="shared" si="13"/>
        <v>0</v>
      </c>
      <c r="X227" s="64"/>
      <c r="Y227" s="65"/>
    </row>
    <row r="228" ht="14.25" customHeight="1">
      <c r="B228" s="69"/>
      <c r="C228" s="91" t="s">
        <v>236</v>
      </c>
      <c r="D228" s="70"/>
      <c r="E228" s="70"/>
      <c r="L228" s="61"/>
      <c r="M228" s="62"/>
      <c r="N228" s="64">
        <v>0.0</v>
      </c>
      <c r="O228" s="209">
        <v>1.0</v>
      </c>
      <c r="P228" s="64">
        <v>0.0</v>
      </c>
      <c r="Q228" s="68">
        <v>0.0</v>
      </c>
      <c r="R228" s="64">
        <v>1.0</v>
      </c>
      <c r="S228" s="209" t="s">
        <v>235</v>
      </c>
      <c r="T228" s="64">
        <v>0.0</v>
      </c>
      <c r="U228" s="68">
        <v>0.0</v>
      </c>
      <c r="V228" s="64">
        <v>0.0</v>
      </c>
      <c r="W228" s="209">
        <f t="shared" si="13"/>
        <v>0</v>
      </c>
      <c r="X228" s="208">
        <f>IFERROR(__xludf.DUMMYFUNCTION("+W228-R228"),-1.0)</f>
        <v>-1</v>
      </c>
      <c r="Y228" s="65"/>
    </row>
    <row r="229" ht="14.25" customHeight="1">
      <c r="B229" s="69"/>
      <c r="C229" s="91" t="s">
        <v>237</v>
      </c>
      <c r="D229" s="70"/>
      <c r="E229" s="70"/>
      <c r="L229" s="61"/>
      <c r="M229" s="62"/>
      <c r="N229" s="64">
        <v>0.0</v>
      </c>
      <c r="O229" s="68">
        <v>0.0</v>
      </c>
      <c r="P229" s="64">
        <v>0.0</v>
      </c>
      <c r="Q229" s="68">
        <v>0.0</v>
      </c>
      <c r="R229" s="208">
        <v>0.0</v>
      </c>
      <c r="S229" s="209">
        <v>0.0</v>
      </c>
      <c r="T229" s="64">
        <v>0.0</v>
      </c>
      <c r="U229" s="68">
        <v>0.0</v>
      </c>
      <c r="V229" s="64">
        <v>0.0</v>
      </c>
      <c r="W229" s="209">
        <f t="shared" si="13"/>
        <v>0</v>
      </c>
      <c r="X229" s="64"/>
      <c r="Y229" s="65"/>
    </row>
    <row r="230" ht="14.25" customHeight="1">
      <c r="B230" s="69"/>
      <c r="C230" s="91" t="s">
        <v>238</v>
      </c>
      <c r="D230" s="70"/>
      <c r="E230" s="70"/>
      <c r="L230" s="61"/>
      <c r="M230" s="62"/>
      <c r="N230" s="64">
        <v>0.0</v>
      </c>
      <c r="O230" s="68">
        <v>0.0</v>
      </c>
      <c r="P230" s="64">
        <v>0.0</v>
      </c>
      <c r="Q230" s="68">
        <v>0.0</v>
      </c>
      <c r="R230" s="208">
        <v>0.0</v>
      </c>
      <c r="S230" s="209">
        <v>0.0</v>
      </c>
      <c r="T230" s="64">
        <v>0.0</v>
      </c>
      <c r="U230" s="68">
        <v>0.0</v>
      </c>
      <c r="V230" s="64">
        <v>0.0</v>
      </c>
      <c r="W230" s="209">
        <f t="shared" si="13"/>
        <v>0</v>
      </c>
      <c r="X230" s="208">
        <f>IFERROR(__xludf.DUMMYFUNCTION("+W230-R230"),0.0)</f>
        <v>0</v>
      </c>
      <c r="Y230" s="65"/>
    </row>
    <row r="231" ht="14.25" customHeight="1">
      <c r="B231" s="69"/>
      <c r="C231" s="91" t="s">
        <v>239</v>
      </c>
      <c r="D231" s="70"/>
      <c r="E231" s="70"/>
      <c r="L231" s="61"/>
      <c r="M231" s="62"/>
      <c r="N231" s="64">
        <v>0.0</v>
      </c>
      <c r="O231" s="68">
        <v>0.0</v>
      </c>
      <c r="P231" s="64">
        <v>0.0</v>
      </c>
      <c r="Q231" s="68">
        <v>0.0</v>
      </c>
      <c r="R231" s="208">
        <v>0.0</v>
      </c>
      <c r="S231" s="209">
        <v>0.0</v>
      </c>
      <c r="T231" s="64">
        <v>0.0</v>
      </c>
      <c r="U231" s="68">
        <v>0.0</v>
      </c>
      <c r="V231" s="64">
        <v>0.0</v>
      </c>
      <c r="W231" s="209">
        <f t="shared" si="13"/>
        <v>0</v>
      </c>
      <c r="X231" s="64"/>
      <c r="Y231" s="65"/>
    </row>
    <row r="232" ht="14.25" customHeight="1">
      <c r="B232" s="69"/>
      <c r="C232" s="91" t="s">
        <v>240</v>
      </c>
      <c r="D232" s="70"/>
      <c r="E232" s="70"/>
      <c r="L232" s="61"/>
      <c r="M232" s="62"/>
      <c r="N232" s="64">
        <v>0.0</v>
      </c>
      <c r="O232" s="68">
        <v>0.0</v>
      </c>
      <c r="P232" s="64">
        <v>0.0</v>
      </c>
      <c r="Q232" s="68">
        <v>0.0</v>
      </c>
      <c r="R232" s="208">
        <v>0.0</v>
      </c>
      <c r="S232" s="209">
        <v>0.0</v>
      </c>
      <c r="T232" s="64">
        <v>0.0</v>
      </c>
      <c r="U232" s="68">
        <v>0.0</v>
      </c>
      <c r="V232" s="64">
        <v>0.0</v>
      </c>
      <c r="W232" s="209">
        <f t="shared" si="13"/>
        <v>0</v>
      </c>
      <c r="X232" s="64"/>
      <c r="Y232" s="65"/>
    </row>
    <row r="233" ht="14.25" customHeight="1">
      <c r="B233" s="69">
        <v>4.2</v>
      </c>
      <c r="C233" s="91" t="s">
        <v>241</v>
      </c>
      <c r="D233" s="70"/>
      <c r="E233" s="70"/>
      <c r="L233" s="61"/>
      <c r="M233" s="62"/>
      <c r="N233" s="64"/>
      <c r="O233" s="68"/>
      <c r="P233" s="64"/>
      <c r="Q233" s="68"/>
      <c r="R233" s="64"/>
      <c r="S233" s="68"/>
      <c r="T233" s="64"/>
      <c r="U233" s="68"/>
      <c r="V233" s="64"/>
      <c r="W233" s="68"/>
      <c r="X233" s="64"/>
      <c r="Y233" s="65"/>
    </row>
    <row r="234" ht="14.25" customHeight="1">
      <c r="B234" s="69"/>
      <c r="C234" s="91" t="s">
        <v>242</v>
      </c>
      <c r="D234" s="70"/>
      <c r="E234" s="70"/>
      <c r="L234" s="61"/>
      <c r="M234" s="62"/>
      <c r="N234" s="64" t="s">
        <v>131</v>
      </c>
      <c r="O234" s="68" t="s">
        <v>131</v>
      </c>
      <c r="P234" s="64" t="s">
        <v>131</v>
      </c>
      <c r="Q234" s="68" t="s">
        <v>131</v>
      </c>
      <c r="R234" s="64" t="s">
        <v>131</v>
      </c>
      <c r="S234" s="68">
        <v>0.0</v>
      </c>
      <c r="T234" s="64">
        <v>0.0</v>
      </c>
      <c r="U234" s="68">
        <v>0.0</v>
      </c>
      <c r="V234" s="64">
        <v>0.0</v>
      </c>
      <c r="W234" s="68">
        <f>IFERROR(__xludf.DUMMYFUNCTION("+SUM(S234:V234)"),0.0)</f>
        <v>0</v>
      </c>
      <c r="X234" s="64" t="str">
        <f>IFERROR(__xludf.DUMMYFUNCTION("+W234-R234"),"#VALUE!")</f>
        <v>#VALUE!</v>
      </c>
      <c r="Y234" s="65"/>
    </row>
    <row r="235" ht="14.25" customHeight="1">
      <c r="B235" s="69"/>
      <c r="C235" s="91" t="s">
        <v>243</v>
      </c>
      <c r="D235" s="70"/>
      <c r="E235" s="70"/>
      <c r="L235" s="61"/>
      <c r="M235" s="62"/>
      <c r="N235" s="64">
        <v>0.0</v>
      </c>
      <c r="O235" s="68">
        <v>50.0</v>
      </c>
      <c r="P235" s="64">
        <v>80.0</v>
      </c>
      <c r="Q235" s="68">
        <v>50.0</v>
      </c>
      <c r="R235" s="64">
        <v>180.0</v>
      </c>
      <c r="S235" s="68">
        <v>0.0</v>
      </c>
      <c r="T235" s="64">
        <v>0.0</v>
      </c>
      <c r="U235" s="68">
        <v>0.0</v>
      </c>
      <c r="V235" s="64">
        <v>0.0</v>
      </c>
      <c r="W235" s="68">
        <f>IFERROR(__xludf.DUMMYFUNCTION("+SUM(S235:V235)"),0.0)</f>
        <v>0</v>
      </c>
      <c r="X235" s="64">
        <f>IFERROR(__xludf.DUMMYFUNCTION("+W235-R235"),-180.0)</f>
        <v>-180</v>
      </c>
      <c r="Y235" s="65"/>
    </row>
    <row r="236" ht="14.25" customHeight="1">
      <c r="B236" s="69">
        <v>4.3</v>
      </c>
      <c r="C236" s="91" t="s">
        <v>244</v>
      </c>
      <c r="D236" s="144"/>
      <c r="E236" s="144"/>
      <c r="L236" s="61"/>
      <c r="M236" s="62"/>
      <c r="N236" s="83"/>
      <c r="O236" s="209"/>
      <c r="P236" s="208"/>
      <c r="Q236" s="209"/>
      <c r="R236" s="208"/>
      <c r="S236" s="209"/>
      <c r="T236" s="64"/>
      <c r="U236" s="68"/>
      <c r="V236" s="64"/>
      <c r="W236" s="209"/>
      <c r="X236" s="64"/>
      <c r="Y236" s="65"/>
    </row>
    <row r="237" ht="14.25" customHeight="1">
      <c r="B237" s="69"/>
      <c r="C237" s="91" t="s">
        <v>245</v>
      </c>
      <c r="D237" s="70"/>
      <c r="L237" s="61"/>
      <c r="M237" s="62"/>
      <c r="N237" s="83"/>
      <c r="O237" s="119"/>
      <c r="P237" s="83"/>
      <c r="Q237" s="119"/>
      <c r="R237" s="83"/>
      <c r="S237" s="119"/>
      <c r="T237" s="64"/>
      <c r="U237" s="68"/>
      <c r="V237" s="64"/>
      <c r="W237" s="119">
        <f t="shared" ref="W237:W239" si="14">SUM(S237:V237)</f>
        <v>0</v>
      </c>
      <c r="X237" s="83">
        <f>IFERROR(__xludf.DUMMYFUNCTION("+W237-R237"),0.0)</f>
        <v>0</v>
      </c>
      <c r="Y237" s="95" t="s">
        <v>246</v>
      </c>
    </row>
    <row r="238" ht="14.25" customHeight="1">
      <c r="B238" s="69"/>
      <c r="C238" s="91" t="s">
        <v>247</v>
      </c>
      <c r="D238" s="70"/>
      <c r="E238" s="70"/>
      <c r="L238" s="61"/>
      <c r="M238" s="62"/>
      <c r="N238" s="83">
        <v>6.0</v>
      </c>
      <c r="O238" s="119">
        <v>6.0</v>
      </c>
      <c r="P238" s="83">
        <v>6.0</v>
      </c>
      <c r="Q238" s="119">
        <v>7.0</v>
      </c>
      <c r="R238" s="83">
        <v>25.0</v>
      </c>
      <c r="S238" s="119">
        <v>6.0</v>
      </c>
      <c r="T238" s="64">
        <v>0.0</v>
      </c>
      <c r="U238" s="68">
        <v>10.0</v>
      </c>
      <c r="V238" s="64">
        <v>3.0</v>
      </c>
      <c r="W238" s="119">
        <f t="shared" si="14"/>
        <v>19</v>
      </c>
      <c r="X238" s="83">
        <f>IFERROR(__xludf.DUMMYFUNCTION("+W238-R238"),-6.0)</f>
        <v>-6</v>
      </c>
      <c r="Y238" s="95"/>
    </row>
    <row r="239" ht="14.25" customHeight="1">
      <c r="A239" s="105"/>
      <c r="B239" s="96"/>
      <c r="C239" s="200" t="s">
        <v>248</v>
      </c>
      <c r="D239" s="97"/>
      <c r="E239" s="97"/>
      <c r="F239" s="105"/>
      <c r="G239" s="105"/>
      <c r="H239" s="105"/>
      <c r="I239" s="105"/>
      <c r="J239" s="105"/>
      <c r="K239" s="105"/>
      <c r="L239" s="107"/>
      <c r="M239" s="108"/>
      <c r="N239" s="98">
        <v>0.0</v>
      </c>
      <c r="O239" s="195">
        <v>0.0</v>
      </c>
      <c r="P239" s="98">
        <v>100.0</v>
      </c>
      <c r="Q239" s="195">
        <v>100.0</v>
      </c>
      <c r="R239" s="98">
        <v>200.0</v>
      </c>
      <c r="S239" s="195">
        <v>0.0</v>
      </c>
      <c r="T239" s="139">
        <v>0.0</v>
      </c>
      <c r="U239" s="140">
        <v>0.0</v>
      </c>
      <c r="V239" s="139">
        <v>215.0</v>
      </c>
      <c r="W239" s="195">
        <f t="shared" si="14"/>
        <v>215</v>
      </c>
      <c r="X239" s="98">
        <f>IFERROR(__xludf.DUMMYFUNCTION("+W239-R239"),15.0)</f>
        <v>15</v>
      </c>
      <c r="Y239" s="99"/>
      <c r="Z239" s="105"/>
      <c r="AA239" s="105"/>
      <c r="AB239" s="105"/>
      <c r="AC239" s="105"/>
      <c r="AD239" s="105"/>
      <c r="AE239" s="105"/>
    </row>
    <row r="240" ht="14.25" customHeight="1">
      <c r="B240" s="69">
        <v>4.4</v>
      </c>
      <c r="C240" s="91" t="s">
        <v>249</v>
      </c>
      <c r="D240" s="70"/>
      <c r="E240" s="70"/>
      <c r="L240" s="61"/>
      <c r="M240" s="62"/>
      <c r="N240" s="114">
        <v>1.0</v>
      </c>
      <c r="O240" s="115">
        <v>1.0</v>
      </c>
      <c r="P240" s="114">
        <v>1.0</v>
      </c>
      <c r="Q240" s="115">
        <v>1.0</v>
      </c>
      <c r="R240" s="114">
        <v>1.0</v>
      </c>
      <c r="S240" s="115"/>
      <c r="T240" s="114">
        <v>1.0</v>
      </c>
      <c r="U240" s="115">
        <v>1.0</v>
      </c>
      <c r="V240" s="114">
        <v>1.0</v>
      </c>
      <c r="W240" s="115">
        <v>1.0</v>
      </c>
      <c r="X240" s="83">
        <f>IFERROR(__xludf.DUMMYFUNCTION("+W240-R240"),0.0)</f>
        <v>0</v>
      </c>
      <c r="Y240" s="65"/>
    </row>
    <row r="241" ht="14.25" customHeight="1">
      <c r="B241" s="69">
        <v>4.5</v>
      </c>
      <c r="C241" s="91" t="s">
        <v>250</v>
      </c>
      <c r="D241" s="70"/>
      <c r="E241" s="70"/>
      <c r="L241" s="61"/>
      <c r="M241" s="62"/>
      <c r="N241" s="114" t="s">
        <v>131</v>
      </c>
      <c r="O241" s="115" t="s">
        <v>131</v>
      </c>
      <c r="P241" s="114" t="s">
        <v>131</v>
      </c>
      <c r="Q241" s="115" t="s">
        <v>131</v>
      </c>
      <c r="R241" s="114" t="s">
        <v>131</v>
      </c>
      <c r="S241" s="115"/>
      <c r="T241" s="64"/>
      <c r="U241" s="68"/>
      <c r="V241" s="64"/>
      <c r="W241" s="115"/>
      <c r="X241" s="64"/>
      <c r="Y241" s="99" t="s">
        <v>251</v>
      </c>
    </row>
    <row r="242" ht="14.25" customHeight="1">
      <c r="B242" s="148"/>
      <c r="C242" s="144"/>
      <c r="D242" s="70"/>
      <c r="E242" s="70"/>
      <c r="L242" s="61"/>
      <c r="M242" s="62"/>
      <c r="N242" s="63"/>
      <c r="O242" s="62"/>
      <c r="P242" s="63"/>
      <c r="Q242" s="62"/>
      <c r="R242" s="63"/>
      <c r="S242" s="68"/>
      <c r="T242" s="64"/>
      <c r="U242" s="68"/>
      <c r="V242" s="64"/>
      <c r="W242" s="68"/>
      <c r="X242" s="64"/>
      <c r="Y242" s="65"/>
    </row>
    <row r="243" ht="14.25" customHeight="1">
      <c r="B243" s="148" t="s">
        <v>252</v>
      </c>
      <c r="C243" s="144"/>
      <c r="D243" s="70"/>
      <c r="E243" s="70"/>
      <c r="L243" s="61"/>
      <c r="M243" s="62"/>
      <c r="N243" s="63"/>
      <c r="O243" s="62"/>
      <c r="P243" s="63"/>
      <c r="Q243" s="62"/>
      <c r="R243" s="63"/>
      <c r="S243" s="68"/>
      <c r="T243" s="64"/>
      <c r="U243" s="68"/>
      <c r="V243" s="64"/>
      <c r="W243" s="68"/>
      <c r="X243" s="64"/>
      <c r="Y243" s="65"/>
    </row>
    <row r="244" ht="14.25" customHeight="1">
      <c r="B244" s="150" t="s">
        <v>253</v>
      </c>
      <c r="C244" s="179"/>
      <c r="D244" s="151"/>
      <c r="E244" s="151"/>
      <c r="F244" s="67"/>
      <c r="G244" s="67"/>
      <c r="H244" s="67"/>
      <c r="I244" s="67"/>
      <c r="J244" s="67"/>
      <c r="K244" s="67"/>
      <c r="L244" s="182"/>
      <c r="M244" s="62"/>
      <c r="N244" s="63"/>
      <c r="O244" s="62"/>
      <c r="P244" s="63"/>
      <c r="Q244" s="62"/>
      <c r="R244" s="63"/>
      <c r="S244" s="68"/>
      <c r="T244" s="64"/>
      <c r="U244" s="68"/>
      <c r="V244" s="64"/>
      <c r="W244" s="68"/>
      <c r="X244" s="64"/>
      <c r="Y244" s="65"/>
    </row>
    <row r="245" ht="14.25" customHeight="1">
      <c r="B245" s="148" t="s">
        <v>28</v>
      </c>
      <c r="C245" s="70"/>
      <c r="D245" s="70"/>
      <c r="E245" s="70"/>
      <c r="L245" s="61"/>
      <c r="M245" s="62"/>
      <c r="N245" s="63"/>
      <c r="O245" s="62"/>
      <c r="P245" s="63"/>
      <c r="Q245" s="62"/>
      <c r="R245" s="63"/>
      <c r="S245" s="68"/>
      <c r="T245" s="64"/>
      <c r="U245" s="68"/>
      <c r="V245" s="64"/>
      <c r="W245" s="68"/>
      <c r="X245" s="64"/>
      <c r="Y245" s="65"/>
    </row>
    <row r="246" ht="14.25" customHeight="1">
      <c r="B246" s="69">
        <v>5.1</v>
      </c>
      <c r="C246" s="91" t="s">
        <v>254</v>
      </c>
      <c r="D246" s="70"/>
      <c r="E246" s="70"/>
      <c r="L246" s="61"/>
      <c r="M246" s="62"/>
      <c r="N246" s="63"/>
      <c r="O246" s="62"/>
      <c r="P246" s="63"/>
      <c r="Q246" s="62"/>
      <c r="R246" s="210"/>
      <c r="S246" s="68"/>
      <c r="T246" s="64"/>
      <c r="U246" s="68"/>
      <c r="V246" s="64"/>
      <c r="W246" s="68"/>
      <c r="X246" s="64"/>
      <c r="Y246" s="65"/>
    </row>
    <row r="247" ht="15.0" customHeight="1">
      <c r="B247" s="69"/>
      <c r="C247" s="91" t="s">
        <v>255</v>
      </c>
      <c r="D247" s="70"/>
      <c r="E247" s="70"/>
      <c r="L247" s="61"/>
      <c r="M247" s="62"/>
      <c r="N247" s="63"/>
      <c r="O247" s="62"/>
      <c r="P247" s="63"/>
      <c r="Q247" s="62"/>
      <c r="R247" s="211"/>
      <c r="S247" s="68"/>
      <c r="T247" s="64"/>
      <c r="U247" s="68"/>
      <c r="V247" s="64"/>
      <c r="W247" s="68"/>
      <c r="X247" s="64"/>
      <c r="Y247" s="149"/>
    </row>
    <row r="248" ht="14.25" customHeight="1">
      <c r="B248" s="69"/>
      <c r="C248" s="91" t="s">
        <v>256</v>
      </c>
      <c r="D248" s="144"/>
      <c r="E248" s="144"/>
      <c r="L248" s="61"/>
      <c r="M248" s="62"/>
      <c r="N248" s="63"/>
      <c r="O248" s="62"/>
      <c r="P248" s="63"/>
      <c r="Q248" s="62"/>
      <c r="R248" s="211"/>
      <c r="S248" s="68"/>
      <c r="T248" s="64"/>
      <c r="U248" s="68"/>
      <c r="V248" s="64"/>
      <c r="W248" s="68"/>
      <c r="X248" s="64"/>
      <c r="Y248" s="149"/>
    </row>
    <row r="249" ht="14.25" customHeight="1">
      <c r="B249" s="69"/>
      <c r="C249" s="91" t="s">
        <v>257</v>
      </c>
      <c r="D249" s="70"/>
      <c r="L249" s="61"/>
      <c r="M249" s="62"/>
      <c r="N249" s="63"/>
      <c r="O249" s="62"/>
      <c r="P249" s="63"/>
      <c r="Q249" s="62"/>
      <c r="R249" s="211"/>
      <c r="S249" s="68"/>
      <c r="T249" s="64"/>
      <c r="U249" s="68"/>
      <c r="V249" s="64"/>
      <c r="W249" s="68"/>
      <c r="X249" s="64"/>
      <c r="Y249" s="149"/>
    </row>
    <row r="250" ht="14.25" customHeight="1">
      <c r="B250" s="69"/>
      <c r="C250" s="91" t="s">
        <v>258</v>
      </c>
      <c r="D250" s="70"/>
      <c r="E250" s="70"/>
      <c r="L250" s="61"/>
      <c r="M250" s="62"/>
      <c r="N250" s="63"/>
      <c r="O250" s="62"/>
      <c r="P250" s="63"/>
      <c r="Q250" s="62"/>
      <c r="R250" s="211"/>
      <c r="S250" s="68"/>
      <c r="T250" s="64"/>
      <c r="U250" s="68"/>
      <c r="V250" s="64"/>
      <c r="W250" s="68"/>
      <c r="X250" s="64"/>
      <c r="Y250" s="149"/>
    </row>
    <row r="251" ht="14.25" customHeight="1">
      <c r="B251" s="69"/>
      <c r="C251" s="91" t="s">
        <v>259</v>
      </c>
      <c r="D251" s="70"/>
      <c r="E251" s="70"/>
      <c r="L251" s="61"/>
      <c r="M251" s="62"/>
      <c r="N251" s="63"/>
      <c r="O251" s="62"/>
      <c r="P251" s="63"/>
      <c r="Q251" s="62"/>
      <c r="R251" s="211"/>
      <c r="S251" s="68"/>
      <c r="T251" s="64"/>
      <c r="U251" s="68"/>
      <c r="V251" s="64"/>
      <c r="W251" s="68"/>
      <c r="X251" s="64"/>
      <c r="Y251" s="149"/>
    </row>
    <row r="252" ht="14.25" customHeight="1">
      <c r="B252" s="69"/>
      <c r="C252" s="91" t="s">
        <v>260</v>
      </c>
      <c r="D252" s="70"/>
      <c r="E252" s="70"/>
      <c r="L252" s="61"/>
      <c r="M252" s="62"/>
      <c r="N252" s="63"/>
      <c r="O252" s="62"/>
      <c r="P252" s="63"/>
      <c r="Q252" s="62"/>
      <c r="R252" s="211"/>
      <c r="S252" s="68"/>
      <c r="T252" s="64"/>
      <c r="U252" s="68"/>
      <c r="V252" s="64"/>
      <c r="W252" s="68"/>
      <c r="X252" s="64"/>
      <c r="Y252" s="149"/>
    </row>
    <row r="253" ht="14.25" customHeight="1">
      <c r="B253" s="69"/>
      <c r="C253" s="91" t="s">
        <v>261</v>
      </c>
      <c r="D253" s="70"/>
      <c r="E253" s="70"/>
      <c r="L253" s="61"/>
      <c r="M253" s="62"/>
      <c r="N253" s="63"/>
      <c r="O253" s="62"/>
      <c r="P253" s="63"/>
      <c r="Q253" s="62"/>
      <c r="R253" s="211"/>
      <c r="S253" s="68"/>
      <c r="T253" s="64"/>
      <c r="U253" s="68"/>
      <c r="V253" s="64"/>
      <c r="W253" s="68"/>
      <c r="X253" s="64"/>
      <c r="Y253" s="149"/>
    </row>
    <row r="254" ht="14.25" customHeight="1">
      <c r="B254" s="69"/>
      <c r="C254" s="91" t="s">
        <v>262</v>
      </c>
      <c r="D254" s="70"/>
      <c r="E254" s="70"/>
      <c r="L254" s="61"/>
      <c r="M254" s="62"/>
      <c r="N254" s="63"/>
      <c r="O254" s="62"/>
      <c r="P254" s="63"/>
      <c r="Q254" s="62"/>
      <c r="R254" s="211"/>
      <c r="S254" s="68"/>
      <c r="T254" s="64"/>
      <c r="U254" s="68"/>
      <c r="V254" s="64"/>
      <c r="W254" s="68"/>
      <c r="X254" s="64"/>
      <c r="Y254" s="149"/>
    </row>
    <row r="255" ht="14.25" customHeight="1">
      <c r="B255" s="69"/>
      <c r="C255" s="91" t="s">
        <v>263</v>
      </c>
      <c r="D255" s="70"/>
      <c r="E255" s="70"/>
      <c r="L255" s="61"/>
      <c r="M255" s="62"/>
      <c r="N255" s="63"/>
      <c r="O255" s="62"/>
      <c r="P255" s="63"/>
      <c r="Q255" s="62"/>
      <c r="R255" s="211"/>
      <c r="S255" s="68"/>
      <c r="T255" s="64"/>
      <c r="U255" s="68"/>
      <c r="V255" s="64"/>
      <c r="W255" s="68"/>
      <c r="X255" s="64"/>
      <c r="Y255" s="149"/>
    </row>
    <row r="256" ht="14.25" customHeight="1">
      <c r="B256" s="69"/>
      <c r="C256" s="91" t="s">
        <v>264</v>
      </c>
      <c r="D256" s="70"/>
      <c r="E256" s="70"/>
      <c r="L256" s="61"/>
      <c r="M256" s="62"/>
      <c r="N256" s="63"/>
      <c r="O256" s="62"/>
      <c r="P256" s="63"/>
      <c r="Q256" s="62"/>
      <c r="R256" s="211"/>
      <c r="S256" s="68"/>
      <c r="T256" s="64"/>
      <c r="U256" s="68"/>
      <c r="V256" s="64"/>
      <c r="W256" s="68"/>
      <c r="X256" s="64"/>
      <c r="Y256" s="149"/>
    </row>
    <row r="257" ht="14.25" customHeight="1">
      <c r="B257" s="69"/>
      <c r="C257" s="91" t="s">
        <v>265</v>
      </c>
      <c r="D257" s="70"/>
      <c r="E257" s="70"/>
      <c r="L257" s="61"/>
      <c r="M257" s="62"/>
      <c r="N257" s="63"/>
      <c r="O257" s="62"/>
      <c r="P257" s="63"/>
      <c r="Q257" s="62"/>
      <c r="R257" s="211"/>
      <c r="S257" s="68"/>
      <c r="T257" s="64"/>
      <c r="U257" s="68"/>
      <c r="V257" s="64"/>
      <c r="W257" s="68"/>
      <c r="X257" s="64"/>
      <c r="Y257" s="149"/>
    </row>
    <row r="258" ht="14.25" customHeight="1">
      <c r="B258" s="69"/>
      <c r="C258" s="91" t="s">
        <v>266</v>
      </c>
      <c r="D258" s="70"/>
      <c r="E258" s="70"/>
      <c r="L258" s="61"/>
      <c r="M258" s="62"/>
      <c r="N258" s="63"/>
      <c r="O258" s="62"/>
      <c r="P258" s="63"/>
      <c r="Q258" s="62"/>
      <c r="R258" s="211"/>
      <c r="S258" s="68"/>
      <c r="T258" s="64"/>
      <c r="U258" s="68"/>
      <c r="V258" s="64"/>
      <c r="W258" s="68"/>
      <c r="X258" s="64"/>
      <c r="Y258" s="149"/>
    </row>
    <row r="259" ht="14.25" customHeight="1">
      <c r="B259" s="69"/>
      <c r="C259" s="70"/>
      <c r="D259" s="70"/>
      <c r="E259" s="70"/>
      <c r="L259" s="61"/>
      <c r="M259" s="62"/>
      <c r="N259" s="63"/>
      <c r="O259" s="62"/>
      <c r="P259" s="63"/>
      <c r="Q259" s="62"/>
      <c r="R259" s="211"/>
      <c r="S259" s="68"/>
      <c r="T259" s="64"/>
      <c r="U259" s="68"/>
      <c r="V259" s="64"/>
      <c r="W259" s="68"/>
      <c r="X259" s="64"/>
      <c r="Y259" s="149"/>
    </row>
    <row r="260" ht="14.25" customHeight="1">
      <c r="B260" s="212" t="s">
        <v>267</v>
      </c>
      <c r="C260" s="70"/>
      <c r="D260" s="70"/>
      <c r="E260" s="70"/>
      <c r="L260" s="61"/>
      <c r="M260" s="62"/>
      <c r="N260" s="63"/>
      <c r="O260" s="62"/>
      <c r="P260" s="63"/>
      <c r="Q260" s="62"/>
      <c r="R260" s="213"/>
      <c r="S260" s="68"/>
      <c r="T260" s="64"/>
      <c r="U260" s="68"/>
      <c r="V260" s="64"/>
      <c r="W260" s="68"/>
      <c r="X260" s="64"/>
      <c r="Y260" s="149"/>
    </row>
    <row r="261" ht="14.25" customHeight="1">
      <c r="B261" s="69"/>
      <c r="C261" s="214" t="s">
        <v>268</v>
      </c>
      <c r="D261" s="70"/>
      <c r="E261" s="70"/>
      <c r="L261" s="61"/>
      <c r="M261" s="62"/>
      <c r="N261" s="63"/>
      <c r="O261" s="62"/>
      <c r="P261" s="63"/>
      <c r="Q261" s="62"/>
      <c r="R261" s="213"/>
      <c r="S261" s="68"/>
      <c r="T261" s="64"/>
      <c r="U261" s="68"/>
      <c r="V261" s="64"/>
      <c r="W261" s="68"/>
      <c r="X261" s="64"/>
      <c r="Y261" s="149"/>
    </row>
    <row r="262" ht="14.25" customHeight="1">
      <c r="B262" s="69"/>
      <c r="C262" s="91" t="s">
        <v>269</v>
      </c>
      <c r="D262" s="70"/>
      <c r="E262" s="70"/>
      <c r="L262" s="61"/>
      <c r="M262" s="62"/>
      <c r="N262" s="63"/>
      <c r="O262" s="62"/>
      <c r="P262" s="63"/>
      <c r="Q262" s="62"/>
      <c r="R262" s="213"/>
      <c r="S262" s="68">
        <v>0.0</v>
      </c>
      <c r="T262" s="64"/>
      <c r="U262" s="68"/>
      <c r="V262" s="64"/>
      <c r="W262" s="68">
        <f>IFERROR(__xludf.DUMMYFUNCTION("+SUM(S262:V262)"),0.0)</f>
        <v>0</v>
      </c>
      <c r="X262" s="64"/>
      <c r="Y262" s="76" t="s">
        <v>270</v>
      </c>
    </row>
    <row r="263" ht="14.25" customHeight="1">
      <c r="B263" s="69"/>
      <c r="C263" s="91" t="s">
        <v>257</v>
      </c>
      <c r="D263" s="70"/>
      <c r="E263" s="70"/>
      <c r="L263" s="61"/>
      <c r="M263" s="62"/>
      <c r="N263" s="63"/>
      <c r="O263" s="62"/>
      <c r="P263" s="63"/>
      <c r="Q263" s="62"/>
      <c r="R263" s="213"/>
      <c r="S263" s="68">
        <v>0.0</v>
      </c>
      <c r="T263" s="64"/>
      <c r="U263" s="68"/>
      <c r="V263" s="64"/>
      <c r="W263" s="68">
        <f>IFERROR(__xludf.DUMMYFUNCTION("+SUM(S263:V263)"),0.0)</f>
        <v>0</v>
      </c>
      <c r="X263" s="64"/>
      <c r="Y263" s="40"/>
    </row>
    <row r="264" ht="14.25" customHeight="1">
      <c r="B264" s="69"/>
      <c r="C264" s="91" t="s">
        <v>258</v>
      </c>
      <c r="D264" s="70"/>
      <c r="E264" s="70"/>
      <c r="L264" s="61"/>
      <c r="M264" s="62"/>
      <c r="N264" s="63"/>
      <c r="O264" s="62"/>
      <c r="P264" s="63"/>
      <c r="Q264" s="62"/>
      <c r="R264" s="213"/>
      <c r="S264" s="68">
        <v>7.0</v>
      </c>
      <c r="T264" s="64"/>
      <c r="U264" s="68"/>
      <c r="V264" s="64">
        <v>1.0</v>
      </c>
      <c r="W264" s="68">
        <f>IFERROR(__xludf.DUMMYFUNCTION("+SUM(S264:V264)"),8.0)</f>
        <v>8</v>
      </c>
      <c r="X264" s="64"/>
      <c r="Y264" s="40"/>
    </row>
    <row r="265" ht="14.25" customHeight="1">
      <c r="B265" s="69"/>
      <c r="C265" s="214" t="s">
        <v>271</v>
      </c>
      <c r="D265" s="70"/>
      <c r="E265" s="70"/>
      <c r="L265" s="61"/>
      <c r="M265" s="62"/>
      <c r="N265" s="63"/>
      <c r="O265" s="62"/>
      <c r="P265" s="63"/>
      <c r="Q265" s="62"/>
      <c r="R265" s="213"/>
      <c r="S265" s="68"/>
      <c r="T265" s="64"/>
      <c r="U265" s="68"/>
      <c r="V265" s="64"/>
      <c r="W265" s="68"/>
      <c r="X265" s="64"/>
      <c r="Y265" s="40"/>
    </row>
    <row r="266" ht="14.25" customHeight="1">
      <c r="B266" s="69"/>
      <c r="C266" s="91" t="s">
        <v>272</v>
      </c>
      <c r="D266" s="70"/>
      <c r="E266" s="70"/>
      <c r="L266" s="61"/>
      <c r="M266" s="62"/>
      <c r="N266" s="63"/>
      <c r="O266" s="62"/>
      <c r="P266" s="63"/>
      <c r="Q266" s="62"/>
      <c r="R266" s="213"/>
      <c r="S266" s="68">
        <v>0.0</v>
      </c>
      <c r="T266" s="64"/>
      <c r="U266" s="68"/>
      <c r="V266" s="64"/>
      <c r="W266" s="68">
        <f>IFERROR(__xludf.DUMMYFUNCTION("+SUM(S266:V266)"),0.0)</f>
        <v>0</v>
      </c>
      <c r="X266" s="64"/>
      <c r="Y266" s="40"/>
    </row>
    <row r="267" ht="14.25" customHeight="1">
      <c r="B267" s="69"/>
      <c r="C267" s="91" t="s">
        <v>261</v>
      </c>
      <c r="D267" s="70"/>
      <c r="E267" s="70"/>
      <c r="L267" s="61"/>
      <c r="M267" s="62"/>
      <c r="N267" s="63"/>
      <c r="O267" s="62"/>
      <c r="P267" s="63"/>
      <c r="Q267" s="62"/>
      <c r="R267" s="213"/>
      <c r="S267" s="68">
        <v>2.0</v>
      </c>
      <c r="T267" s="64"/>
      <c r="U267" s="68"/>
      <c r="V267" s="64"/>
      <c r="W267" s="68">
        <f>IFERROR(__xludf.DUMMYFUNCTION("+SUM(S267:V267)"),2.0)</f>
        <v>2</v>
      </c>
      <c r="X267" s="64"/>
      <c r="Y267" s="40"/>
    </row>
    <row r="268" ht="14.25" customHeight="1">
      <c r="B268" s="69"/>
      <c r="C268" s="91" t="s">
        <v>262</v>
      </c>
      <c r="D268" s="70"/>
      <c r="E268" s="70"/>
      <c r="L268" s="61"/>
      <c r="M268" s="62"/>
      <c r="N268" s="63"/>
      <c r="O268" s="62"/>
      <c r="P268" s="63"/>
      <c r="Q268" s="62"/>
      <c r="R268" s="213"/>
      <c r="S268" s="68">
        <v>17.0</v>
      </c>
      <c r="T268" s="64"/>
      <c r="U268" s="68">
        <v>1.0</v>
      </c>
      <c r="V268" s="64"/>
      <c r="W268" s="68">
        <f>IFERROR(__xludf.DUMMYFUNCTION("+SUM(S268:V268)"),18.0)</f>
        <v>18</v>
      </c>
      <c r="X268" s="64"/>
      <c r="Y268" s="40"/>
    </row>
    <row r="269" ht="14.25" customHeight="1">
      <c r="B269" s="69"/>
      <c r="C269" s="214" t="s">
        <v>273</v>
      </c>
      <c r="D269" s="70"/>
      <c r="E269" s="70"/>
      <c r="L269" s="61"/>
      <c r="M269" s="62"/>
      <c r="N269" s="63"/>
      <c r="O269" s="62"/>
      <c r="P269" s="63"/>
      <c r="Q269" s="62"/>
      <c r="R269" s="213"/>
      <c r="S269" s="68"/>
      <c r="T269" s="64"/>
      <c r="U269" s="68"/>
      <c r="V269" s="64"/>
      <c r="W269" s="68"/>
      <c r="X269" s="64"/>
      <c r="Y269" s="40"/>
    </row>
    <row r="270" ht="14.25" customHeight="1">
      <c r="B270" s="69"/>
      <c r="C270" s="91" t="s">
        <v>274</v>
      </c>
      <c r="D270" s="70"/>
      <c r="E270" s="70"/>
      <c r="L270" s="61"/>
      <c r="M270" s="62"/>
      <c r="N270" s="63"/>
      <c r="O270" s="62"/>
      <c r="P270" s="63"/>
      <c r="Q270" s="62"/>
      <c r="R270" s="213"/>
      <c r="S270" s="68">
        <v>0.0</v>
      </c>
      <c r="T270" s="64"/>
      <c r="U270" s="68"/>
      <c r="V270" s="64"/>
      <c r="W270" s="68">
        <f>IFERROR(__xludf.DUMMYFUNCTION("+SUM(S270:V270)"),0.0)</f>
        <v>0</v>
      </c>
      <c r="X270" s="64"/>
      <c r="Y270" s="40"/>
    </row>
    <row r="271" ht="14.25" customHeight="1">
      <c r="B271" s="69"/>
      <c r="C271" s="91" t="s">
        <v>265</v>
      </c>
      <c r="D271" s="70"/>
      <c r="E271" s="70"/>
      <c r="L271" s="61"/>
      <c r="M271" s="62"/>
      <c r="N271" s="63"/>
      <c r="O271" s="62"/>
      <c r="P271" s="63"/>
      <c r="Q271" s="62"/>
      <c r="R271" s="213"/>
      <c r="S271" s="68">
        <v>1.0</v>
      </c>
      <c r="T271" s="64"/>
      <c r="U271" s="68"/>
      <c r="V271" s="64">
        <v>1.0</v>
      </c>
      <c r="W271" s="68">
        <f>IFERROR(__xludf.DUMMYFUNCTION("+SUM(S271:V271)"),2.0)</f>
        <v>2</v>
      </c>
      <c r="X271" s="64"/>
      <c r="Y271" s="40"/>
    </row>
    <row r="272" ht="14.25" customHeight="1">
      <c r="B272" s="69"/>
      <c r="C272" s="91" t="s">
        <v>266</v>
      </c>
      <c r="D272" s="70"/>
      <c r="E272" s="70"/>
      <c r="L272" s="61"/>
      <c r="M272" s="62"/>
      <c r="N272" s="63"/>
      <c r="O272" s="62"/>
      <c r="P272" s="63"/>
      <c r="Q272" s="62"/>
      <c r="R272" s="213"/>
      <c r="S272" s="68">
        <v>5.0</v>
      </c>
      <c r="T272" s="64"/>
      <c r="U272" s="68">
        <v>1.0</v>
      </c>
      <c r="V272" s="64">
        <v>1.0</v>
      </c>
      <c r="W272" s="68">
        <f>IFERROR(__xludf.DUMMYFUNCTION("+SUM(S272:V272)"),7.0)</f>
        <v>7</v>
      </c>
      <c r="X272" s="64"/>
      <c r="Y272" s="40"/>
    </row>
    <row r="273" ht="14.25" customHeight="1">
      <c r="B273" s="69"/>
      <c r="C273" s="214" t="s">
        <v>275</v>
      </c>
      <c r="D273" s="70"/>
      <c r="E273" s="70"/>
      <c r="L273" s="61"/>
      <c r="M273" s="62"/>
      <c r="N273" s="63"/>
      <c r="O273" s="62"/>
      <c r="P273" s="63"/>
      <c r="Q273" s="62"/>
      <c r="R273" s="213"/>
      <c r="S273" s="68"/>
      <c r="T273" s="64"/>
      <c r="U273" s="68"/>
      <c r="V273" s="64"/>
      <c r="W273" s="68"/>
      <c r="X273" s="64"/>
      <c r="Y273" s="40"/>
    </row>
    <row r="274" ht="14.25" customHeight="1">
      <c r="B274" s="69"/>
      <c r="C274" s="91" t="s">
        <v>276</v>
      </c>
      <c r="D274" s="70"/>
      <c r="E274" s="70"/>
      <c r="L274" s="61"/>
      <c r="M274" s="62"/>
      <c r="N274" s="63"/>
      <c r="O274" s="62"/>
      <c r="P274" s="63"/>
      <c r="Q274" s="62"/>
      <c r="R274" s="213"/>
      <c r="S274" s="68">
        <v>0.0</v>
      </c>
      <c r="T274" s="64"/>
      <c r="U274" s="68"/>
      <c r="V274" s="64"/>
      <c r="W274" s="68">
        <f>IFERROR(__xludf.DUMMYFUNCTION("+SUM(S274:V274)"),0.0)</f>
        <v>0</v>
      </c>
      <c r="X274" s="64"/>
      <c r="Y274" s="40"/>
    </row>
    <row r="275" ht="14.25" customHeight="1">
      <c r="B275" s="69"/>
      <c r="C275" s="91" t="s">
        <v>277</v>
      </c>
      <c r="D275" s="70"/>
      <c r="E275" s="70"/>
      <c r="L275" s="61"/>
      <c r="M275" s="62"/>
      <c r="N275" s="63"/>
      <c r="O275" s="62"/>
      <c r="P275" s="63"/>
      <c r="Q275" s="62"/>
      <c r="R275" s="213"/>
      <c r="S275" s="68">
        <v>0.0</v>
      </c>
      <c r="T275" s="64"/>
      <c r="U275" s="68"/>
      <c r="V275" s="64"/>
      <c r="W275" s="68">
        <f>IFERROR(__xludf.DUMMYFUNCTION("+SUM(S275:V275)"),0.0)</f>
        <v>0</v>
      </c>
      <c r="X275" s="64"/>
      <c r="Y275" s="40"/>
    </row>
    <row r="276" ht="14.25" customHeight="1">
      <c r="B276" s="69"/>
      <c r="C276" s="91" t="s">
        <v>278</v>
      </c>
      <c r="D276" s="70"/>
      <c r="E276" s="70"/>
      <c r="L276" s="61"/>
      <c r="M276" s="62"/>
      <c r="N276" s="63"/>
      <c r="O276" s="62"/>
      <c r="P276" s="63"/>
      <c r="Q276" s="62"/>
      <c r="R276" s="213"/>
      <c r="S276" s="68">
        <v>0.0</v>
      </c>
      <c r="T276" s="64"/>
      <c r="U276" s="68"/>
      <c r="V276" s="64"/>
      <c r="W276" s="68">
        <f>IFERROR(__xludf.DUMMYFUNCTION("+SUM(S276:V276)"),0.0)</f>
        <v>0</v>
      </c>
      <c r="X276" s="64"/>
      <c r="Y276" s="90"/>
    </row>
    <row r="277" ht="14.25" customHeight="1">
      <c r="B277" s="69"/>
      <c r="C277" s="70"/>
      <c r="D277" s="70"/>
      <c r="E277" s="70"/>
      <c r="L277" s="61"/>
      <c r="M277" s="62"/>
      <c r="N277" s="63"/>
      <c r="O277" s="62"/>
      <c r="P277" s="63"/>
      <c r="Q277" s="62"/>
      <c r="R277" s="213"/>
      <c r="S277" s="68"/>
      <c r="T277" s="64"/>
      <c r="U277" s="68"/>
      <c r="V277" s="64"/>
      <c r="W277" s="68"/>
      <c r="X277" s="64"/>
      <c r="Y277" s="149"/>
    </row>
    <row r="278" ht="14.25" customHeight="1">
      <c r="B278" s="69"/>
      <c r="C278" s="70"/>
      <c r="D278" s="70"/>
      <c r="E278" s="70"/>
      <c r="L278" s="61"/>
      <c r="M278" s="62"/>
      <c r="N278" s="63"/>
      <c r="O278" s="62"/>
      <c r="P278" s="63"/>
      <c r="Q278" s="62"/>
      <c r="R278" s="213"/>
      <c r="S278" s="68"/>
      <c r="T278" s="64"/>
      <c r="U278" s="68"/>
      <c r="V278" s="64"/>
      <c r="W278" s="68"/>
      <c r="X278" s="64"/>
      <c r="Y278" s="149"/>
    </row>
    <row r="279" ht="14.25" customHeight="1">
      <c r="B279" s="69"/>
      <c r="C279" s="70"/>
      <c r="D279" s="70"/>
      <c r="E279" s="70"/>
      <c r="L279" s="61"/>
      <c r="M279" s="62"/>
      <c r="N279" s="63"/>
      <c r="O279" s="62"/>
      <c r="P279" s="63"/>
      <c r="Q279" s="62"/>
      <c r="R279" s="213"/>
      <c r="S279" s="68"/>
      <c r="T279" s="64"/>
      <c r="U279" s="68"/>
      <c r="V279" s="64"/>
      <c r="W279" s="68"/>
      <c r="X279" s="64"/>
      <c r="Y279" s="149"/>
    </row>
    <row r="280" ht="14.25" customHeight="1">
      <c r="B280" s="69"/>
      <c r="C280" s="70"/>
      <c r="D280" s="70"/>
      <c r="E280" s="70"/>
      <c r="L280" s="61"/>
      <c r="M280" s="62"/>
      <c r="N280" s="63"/>
      <c r="O280" s="62"/>
      <c r="P280" s="63"/>
      <c r="Q280" s="62"/>
      <c r="R280" s="213"/>
      <c r="S280" s="68"/>
      <c r="T280" s="64"/>
      <c r="U280" s="68"/>
      <c r="V280" s="64"/>
      <c r="W280" s="68"/>
      <c r="X280" s="64"/>
      <c r="Y280" s="149"/>
    </row>
    <row r="281" ht="14.25" customHeight="1">
      <c r="B281" s="148" t="s">
        <v>49</v>
      </c>
      <c r="C281" s="70"/>
      <c r="D281" s="144"/>
      <c r="E281" s="144"/>
      <c r="L281" s="61"/>
      <c r="M281" s="62"/>
      <c r="N281" s="63"/>
      <c r="O281" s="62"/>
      <c r="P281" s="63"/>
      <c r="Q281" s="62"/>
      <c r="R281" s="211"/>
      <c r="S281" s="68"/>
      <c r="T281" s="64"/>
      <c r="U281" s="68"/>
      <c r="V281" s="64"/>
      <c r="W281" s="68"/>
      <c r="X281" s="64"/>
      <c r="Y281" s="149"/>
    </row>
    <row r="282" ht="14.25" customHeight="1">
      <c r="B282" s="69">
        <v>5.1</v>
      </c>
      <c r="C282" s="91" t="s">
        <v>279</v>
      </c>
      <c r="D282" s="70"/>
      <c r="L282" s="61"/>
      <c r="M282" s="62"/>
      <c r="N282" s="64"/>
      <c r="O282" s="68"/>
      <c r="P282" s="64"/>
      <c r="Q282" s="68"/>
      <c r="R282" s="215"/>
      <c r="S282" s="140">
        <v>2.0</v>
      </c>
      <c r="T282" s="139">
        <v>0.0</v>
      </c>
      <c r="U282" s="140">
        <v>2.0</v>
      </c>
      <c r="V282" s="139">
        <v>2.0</v>
      </c>
      <c r="W282" s="140">
        <f>SUM(S282:V282)</f>
        <v>6</v>
      </c>
      <c r="X282" s="139">
        <f>IFERROR(__xludf.DUMMYFUNCTION("+W282-R282"),6.0)</f>
        <v>6</v>
      </c>
      <c r="Y282" s="95"/>
    </row>
    <row r="283" ht="14.25" customHeight="1">
      <c r="A283" s="105"/>
      <c r="B283" s="96">
        <v>5.2</v>
      </c>
      <c r="C283" s="200" t="s">
        <v>280</v>
      </c>
      <c r="D283" s="97"/>
      <c r="E283" s="97"/>
      <c r="F283" s="105"/>
      <c r="G283" s="105"/>
      <c r="H283" s="105"/>
      <c r="I283" s="105"/>
      <c r="J283" s="105"/>
      <c r="K283" s="105"/>
      <c r="L283" s="107"/>
      <c r="M283" s="108"/>
      <c r="N283" s="163"/>
      <c r="O283" s="216"/>
      <c r="P283" s="163"/>
      <c r="Q283" s="216"/>
      <c r="R283" s="163">
        <v>1.0</v>
      </c>
      <c r="S283" s="189">
        <v>1.0</v>
      </c>
      <c r="T283" s="163">
        <v>1.0</v>
      </c>
      <c r="U283" s="163">
        <v>0.6</v>
      </c>
      <c r="V283" s="163">
        <v>1.56</v>
      </c>
      <c r="W283" s="189">
        <v>1.0656</v>
      </c>
      <c r="X283" s="101"/>
      <c r="Y283" s="101" t="s">
        <v>281</v>
      </c>
      <c r="Z283" s="217"/>
      <c r="AA283" s="217"/>
      <c r="AB283" s="217"/>
      <c r="AC283" s="217"/>
      <c r="AD283" s="217"/>
      <c r="AE283" s="217" t="s">
        <v>282</v>
      </c>
    </row>
    <row r="284" ht="33.75" customHeight="1">
      <c r="A284" s="105"/>
      <c r="B284" s="96">
        <v>5.3</v>
      </c>
      <c r="C284" s="200" t="s">
        <v>283</v>
      </c>
      <c r="D284" s="97"/>
      <c r="E284" s="97"/>
      <c r="F284" s="105"/>
      <c r="G284" s="105"/>
      <c r="H284" s="105"/>
      <c r="I284" s="105"/>
      <c r="J284" s="105"/>
      <c r="K284" s="105"/>
      <c r="L284" s="107"/>
      <c r="M284" s="108"/>
      <c r="N284" s="163">
        <v>1.0</v>
      </c>
      <c r="O284" s="216">
        <v>1.0</v>
      </c>
      <c r="P284" s="163">
        <v>1.0</v>
      </c>
      <c r="Q284" s="216">
        <v>1.0</v>
      </c>
      <c r="R284" s="163">
        <v>1.0</v>
      </c>
      <c r="S284" s="216">
        <v>1.0</v>
      </c>
      <c r="T284" s="163">
        <v>1.0</v>
      </c>
      <c r="U284" s="163">
        <v>1.0</v>
      </c>
      <c r="V284" s="163">
        <v>1.0</v>
      </c>
      <c r="W284" s="216">
        <f>IFERROR(__xludf.DUMMYFUNCTION("+S284"),1.0)</f>
        <v>1</v>
      </c>
      <c r="X284" s="101"/>
      <c r="Y284" s="101" t="s">
        <v>284</v>
      </c>
      <c r="Z284" s="217"/>
      <c r="AA284" s="217"/>
      <c r="AB284" s="217"/>
      <c r="AC284" s="217"/>
      <c r="AD284" s="217"/>
      <c r="AE284" s="217" t="s">
        <v>282</v>
      </c>
    </row>
    <row r="285" ht="14.25" customHeight="1">
      <c r="B285" s="69">
        <v>5.4</v>
      </c>
      <c r="C285" s="91" t="s">
        <v>285</v>
      </c>
      <c r="D285" s="70"/>
      <c r="E285" s="70"/>
      <c r="L285" s="61"/>
      <c r="M285" s="62"/>
      <c r="N285" s="114"/>
      <c r="O285" s="115"/>
      <c r="P285" s="114"/>
      <c r="Q285" s="115"/>
      <c r="R285" s="114"/>
      <c r="S285" s="115"/>
      <c r="T285" s="64"/>
      <c r="U285" s="68"/>
      <c r="V285" s="64"/>
      <c r="W285" s="115"/>
      <c r="X285" s="64"/>
      <c r="Y285" s="76" t="s">
        <v>286</v>
      </c>
    </row>
    <row r="286" ht="14.25" customHeight="1">
      <c r="B286" s="69">
        <v>5.5</v>
      </c>
      <c r="C286" s="91" t="s">
        <v>287</v>
      </c>
      <c r="D286" s="70"/>
      <c r="E286" s="70"/>
      <c r="L286" s="61"/>
      <c r="M286" s="62"/>
      <c r="N286" s="114"/>
      <c r="O286" s="115"/>
      <c r="P286" s="114"/>
      <c r="Q286" s="115"/>
      <c r="R286" s="114"/>
      <c r="S286" s="115"/>
      <c r="T286" s="64"/>
      <c r="U286" s="68"/>
      <c r="V286" s="64"/>
      <c r="W286" s="115"/>
      <c r="X286" s="64"/>
      <c r="Y286" s="90"/>
    </row>
    <row r="287" ht="14.25" customHeight="1">
      <c r="B287" s="148"/>
      <c r="C287" s="144"/>
      <c r="D287" s="70"/>
      <c r="E287" s="70"/>
      <c r="L287" s="61"/>
      <c r="M287" s="62"/>
      <c r="N287" s="63"/>
      <c r="O287" s="62"/>
      <c r="P287" s="63"/>
      <c r="Q287" s="62"/>
      <c r="R287" s="63"/>
      <c r="S287" s="68"/>
      <c r="T287" s="64"/>
      <c r="U287" s="68"/>
      <c r="V287" s="64"/>
      <c r="W287" s="68"/>
      <c r="X287" s="64"/>
      <c r="Y287" s="65"/>
    </row>
    <row r="288" ht="14.25" customHeight="1">
      <c r="B288" s="148" t="s">
        <v>288</v>
      </c>
      <c r="C288" s="144"/>
      <c r="D288" s="70"/>
      <c r="E288" s="70"/>
      <c r="L288" s="61"/>
      <c r="M288" s="62"/>
      <c r="N288" s="63"/>
      <c r="O288" s="62"/>
      <c r="P288" s="63"/>
      <c r="Q288" s="62"/>
      <c r="R288" s="63"/>
      <c r="S288" s="68"/>
      <c r="T288" s="64"/>
      <c r="U288" s="68"/>
      <c r="V288" s="64"/>
      <c r="W288" s="68"/>
      <c r="X288" s="64"/>
      <c r="Y288" s="65"/>
    </row>
    <row r="289" ht="14.25" customHeight="1">
      <c r="B289" s="148"/>
      <c r="C289" s="144"/>
      <c r="D289" s="70"/>
      <c r="E289" s="70"/>
      <c r="L289" s="61"/>
      <c r="M289" s="62"/>
      <c r="N289" s="63"/>
      <c r="O289" s="62"/>
      <c r="P289" s="63"/>
      <c r="Q289" s="62"/>
      <c r="R289" s="63"/>
      <c r="S289" s="68"/>
      <c r="T289" s="64"/>
      <c r="U289" s="68"/>
      <c r="V289" s="64"/>
      <c r="W289" s="68"/>
      <c r="X289" s="64"/>
      <c r="Y289" s="65"/>
    </row>
    <row r="290" ht="14.25" customHeight="1">
      <c r="B290" s="148" t="s">
        <v>289</v>
      </c>
      <c r="C290" s="144"/>
      <c r="D290" s="70"/>
      <c r="E290" s="70"/>
      <c r="L290" s="61"/>
      <c r="M290" s="62"/>
      <c r="N290" s="63"/>
      <c r="O290" s="62"/>
      <c r="P290" s="63"/>
      <c r="Q290" s="62"/>
      <c r="R290" s="63"/>
      <c r="S290" s="68"/>
      <c r="T290" s="64"/>
      <c r="U290" s="68"/>
      <c r="V290" s="64"/>
      <c r="W290" s="68"/>
      <c r="X290" s="64"/>
      <c r="Y290" s="65"/>
    </row>
    <row r="291" ht="14.25" customHeight="1">
      <c r="A291" s="105"/>
      <c r="B291" s="96">
        <v>6.1</v>
      </c>
      <c r="C291" s="200" t="s">
        <v>290</v>
      </c>
      <c r="D291" s="97"/>
      <c r="E291" s="97"/>
      <c r="F291" s="105"/>
      <c r="G291" s="105"/>
      <c r="H291" s="105"/>
      <c r="I291" s="105"/>
      <c r="J291" s="105"/>
      <c r="K291" s="105"/>
      <c r="L291" s="107"/>
      <c r="M291" s="108"/>
      <c r="N291" s="139"/>
      <c r="O291" s="140"/>
      <c r="P291" s="139"/>
      <c r="Q291" s="140"/>
      <c r="R291" s="139"/>
      <c r="S291" s="140"/>
      <c r="T291" s="139"/>
      <c r="U291" s="140"/>
      <c r="V291" s="139"/>
      <c r="W291" s="140"/>
      <c r="X291" s="139"/>
      <c r="Y291" s="99" t="s">
        <v>291</v>
      </c>
      <c r="Z291" s="105"/>
      <c r="AA291" s="105"/>
      <c r="AB291" s="105"/>
      <c r="AC291" s="105"/>
      <c r="AD291" s="105"/>
      <c r="AE291" s="105"/>
    </row>
    <row r="292" ht="14.25" customHeight="1">
      <c r="A292" s="105"/>
      <c r="B292" s="96">
        <v>6.2</v>
      </c>
      <c r="C292" s="200" t="s">
        <v>292</v>
      </c>
      <c r="D292" s="186"/>
      <c r="E292" s="186"/>
      <c r="F292" s="105"/>
      <c r="G292" s="105"/>
      <c r="H292" s="105"/>
      <c r="I292" s="105"/>
      <c r="J292" s="105"/>
      <c r="K292" s="105"/>
      <c r="L292" s="107"/>
      <c r="M292" s="108"/>
      <c r="N292" s="139" t="s">
        <v>131</v>
      </c>
      <c r="O292" s="140" t="s">
        <v>131</v>
      </c>
      <c r="P292" s="139" t="s">
        <v>131</v>
      </c>
      <c r="Q292" s="140" t="s">
        <v>131</v>
      </c>
      <c r="R292" s="139" t="s">
        <v>131</v>
      </c>
      <c r="S292" s="140"/>
      <c r="T292" s="139"/>
      <c r="U292" s="140"/>
      <c r="V292" s="139"/>
      <c r="W292" s="140"/>
      <c r="X292" s="139"/>
      <c r="Y292" s="198"/>
      <c r="Z292" s="105"/>
      <c r="AA292" s="105"/>
      <c r="AB292" s="105"/>
      <c r="AC292" s="105"/>
      <c r="AD292" s="105"/>
      <c r="AE292" s="105"/>
    </row>
    <row r="293" ht="14.25" customHeight="1">
      <c r="A293" s="105"/>
      <c r="B293" s="96">
        <v>6.3</v>
      </c>
      <c r="C293" s="200" t="s">
        <v>293</v>
      </c>
      <c r="D293" s="97"/>
      <c r="E293" s="105"/>
      <c r="F293" s="105"/>
      <c r="G293" s="105"/>
      <c r="H293" s="105"/>
      <c r="I293" s="105"/>
      <c r="J293" s="105"/>
      <c r="K293" s="105"/>
      <c r="L293" s="107"/>
      <c r="M293" s="108"/>
      <c r="N293" s="139"/>
      <c r="O293" s="140"/>
      <c r="P293" s="139"/>
      <c r="Q293" s="140"/>
      <c r="R293" s="139"/>
      <c r="S293" s="140"/>
      <c r="T293" s="139"/>
      <c r="U293" s="140"/>
      <c r="V293" s="139"/>
      <c r="W293" s="140"/>
      <c r="X293" s="139"/>
      <c r="Y293" s="99"/>
      <c r="Z293" s="105"/>
      <c r="AA293" s="105"/>
      <c r="AB293" s="105"/>
      <c r="AC293" s="105"/>
      <c r="AD293" s="105"/>
      <c r="AE293" s="105"/>
    </row>
    <row r="294" ht="14.25" customHeight="1">
      <c r="A294" s="105"/>
      <c r="B294" s="96"/>
      <c r="C294" s="200" t="s">
        <v>294</v>
      </c>
      <c r="D294" s="97"/>
      <c r="E294" s="97"/>
      <c r="F294" s="105"/>
      <c r="G294" s="105"/>
      <c r="H294" s="105"/>
      <c r="I294" s="105"/>
      <c r="J294" s="105"/>
      <c r="K294" s="105"/>
      <c r="L294" s="107"/>
      <c r="M294" s="108"/>
      <c r="N294" s="139"/>
      <c r="O294" s="140"/>
      <c r="P294" s="139"/>
      <c r="Q294" s="140"/>
      <c r="R294" s="139">
        <v>1.0</v>
      </c>
      <c r="S294" s="140"/>
      <c r="T294" s="139">
        <v>3.0</v>
      </c>
      <c r="U294" s="140"/>
      <c r="V294" s="139"/>
      <c r="W294" s="140">
        <f t="shared" ref="W294:W295" si="15">SUM(S294:V294)</f>
        <v>3</v>
      </c>
      <c r="X294" s="139"/>
      <c r="Y294" s="218"/>
      <c r="Z294" s="105"/>
      <c r="AA294" s="105"/>
      <c r="AB294" s="105"/>
      <c r="AC294" s="105"/>
      <c r="AD294" s="105"/>
      <c r="AE294" s="105"/>
    </row>
    <row r="295" ht="14.25" customHeight="1">
      <c r="A295" s="105"/>
      <c r="B295" s="96"/>
      <c r="C295" s="200" t="s">
        <v>295</v>
      </c>
      <c r="D295" s="97"/>
      <c r="E295" s="97"/>
      <c r="F295" s="105"/>
      <c r="G295" s="105"/>
      <c r="H295" s="105"/>
      <c r="I295" s="105"/>
      <c r="J295" s="105"/>
      <c r="K295" s="105"/>
      <c r="L295" s="107"/>
      <c r="M295" s="108"/>
      <c r="N295" s="139"/>
      <c r="O295" s="140"/>
      <c r="P295" s="139"/>
      <c r="Q295" s="140"/>
      <c r="R295" s="139">
        <v>3.0</v>
      </c>
      <c r="S295" s="140"/>
      <c r="T295" s="139">
        <v>1.0</v>
      </c>
      <c r="U295" s="140">
        <v>1.0</v>
      </c>
      <c r="V295" s="139">
        <v>2.0</v>
      </c>
      <c r="W295" s="140">
        <f t="shared" si="15"/>
        <v>4</v>
      </c>
      <c r="X295" s="139"/>
      <c r="Y295" s="219" t="s">
        <v>296</v>
      </c>
      <c r="Z295" s="105"/>
      <c r="AA295" s="105"/>
      <c r="AB295" s="105"/>
      <c r="AC295" s="105"/>
      <c r="AD295" s="105"/>
      <c r="AE295" s="105"/>
    </row>
    <row r="296" ht="14.25" customHeight="1">
      <c r="A296" s="105"/>
      <c r="B296" s="96">
        <v>6.4</v>
      </c>
      <c r="C296" s="200" t="s">
        <v>297</v>
      </c>
      <c r="D296" s="97"/>
      <c r="E296" s="97"/>
      <c r="F296" s="105"/>
      <c r="G296" s="105"/>
      <c r="H296" s="105"/>
      <c r="I296" s="105"/>
      <c r="J296" s="105"/>
      <c r="K296" s="105"/>
      <c r="L296" s="107"/>
      <c r="M296" s="108"/>
      <c r="N296" s="139" t="s">
        <v>131</v>
      </c>
      <c r="O296" s="140" t="s">
        <v>131</v>
      </c>
      <c r="P296" s="139" t="s">
        <v>131</v>
      </c>
      <c r="Q296" s="140" t="s">
        <v>131</v>
      </c>
      <c r="R296" s="139" t="s">
        <v>131</v>
      </c>
      <c r="S296" s="140"/>
      <c r="T296" s="139"/>
      <c r="U296" s="140"/>
      <c r="V296" s="139"/>
      <c r="W296" s="140"/>
      <c r="X296" s="139"/>
      <c r="Y296" s="78"/>
      <c r="Z296" s="105"/>
      <c r="AA296" s="105"/>
      <c r="AB296" s="105"/>
      <c r="AC296" s="105"/>
      <c r="AD296" s="105"/>
      <c r="AE296" s="105"/>
    </row>
    <row r="297" ht="74.25" customHeight="1">
      <c r="A297" s="105"/>
      <c r="B297" s="96">
        <v>6.5</v>
      </c>
      <c r="C297" s="200" t="s">
        <v>298</v>
      </c>
      <c r="D297" s="186"/>
      <c r="E297" s="186"/>
      <c r="F297" s="105"/>
      <c r="G297" s="105"/>
      <c r="H297" s="105"/>
      <c r="I297" s="105"/>
      <c r="J297" s="105"/>
      <c r="K297" s="105"/>
      <c r="L297" s="107"/>
      <c r="M297" s="108"/>
      <c r="N297" s="220" t="s">
        <v>299</v>
      </c>
      <c r="O297" s="220" t="s">
        <v>299</v>
      </c>
      <c r="P297" s="220" t="s">
        <v>299</v>
      </c>
      <c r="Q297" s="220" t="s">
        <v>299</v>
      </c>
      <c r="R297" s="220" t="s">
        <v>299</v>
      </c>
      <c r="S297" s="140"/>
      <c r="T297" s="139"/>
      <c r="U297" s="140"/>
      <c r="V297" s="139"/>
      <c r="W297" s="140"/>
      <c r="X297" s="139"/>
      <c r="Y297" s="219" t="s">
        <v>300</v>
      </c>
      <c r="Z297" s="105"/>
      <c r="AA297" s="105"/>
      <c r="AB297" s="105"/>
      <c r="AC297" s="105"/>
      <c r="AD297" s="105"/>
      <c r="AE297" s="105"/>
    </row>
    <row r="298" ht="15.0" customHeight="1">
      <c r="B298" s="148" t="s">
        <v>301</v>
      </c>
      <c r="C298" s="144"/>
      <c r="D298" s="70"/>
      <c r="E298" s="70"/>
      <c r="L298" s="61"/>
      <c r="M298" s="62"/>
      <c r="N298" s="149"/>
      <c r="O298" s="149"/>
      <c r="P298" s="149"/>
      <c r="Q298" s="149"/>
      <c r="R298" s="149"/>
      <c r="S298" s="68"/>
      <c r="T298" s="64"/>
      <c r="U298" s="68"/>
      <c r="V298" s="64"/>
      <c r="W298" s="68"/>
      <c r="X298" s="64"/>
      <c r="Y298" s="65"/>
    </row>
    <row r="299" ht="14.25" customHeight="1">
      <c r="B299" s="96">
        <v>6.6</v>
      </c>
      <c r="C299" s="200" t="s">
        <v>302</v>
      </c>
      <c r="D299" s="70"/>
      <c r="E299" s="97"/>
      <c r="F299" s="105"/>
      <c r="G299" s="105"/>
      <c r="H299" s="105"/>
      <c r="I299" s="105"/>
      <c r="J299" s="105"/>
      <c r="K299" s="105"/>
      <c r="L299" s="107"/>
      <c r="M299" s="108"/>
      <c r="N299" s="221" t="s">
        <v>303</v>
      </c>
      <c r="R299" s="29"/>
      <c r="S299" s="140"/>
      <c r="T299" s="139"/>
      <c r="U299" s="203"/>
      <c r="V299" s="93"/>
      <c r="W299" s="203"/>
      <c r="X299" s="139"/>
      <c r="Y299" s="99"/>
    </row>
    <row r="300" ht="14.25" customHeight="1">
      <c r="B300" s="100" t="s">
        <v>304</v>
      </c>
      <c r="C300" s="91" t="s">
        <v>305</v>
      </c>
      <c r="D300" s="70"/>
      <c r="E300" s="70"/>
      <c r="L300" s="61"/>
      <c r="M300" s="62"/>
      <c r="N300" s="28"/>
      <c r="R300" s="29"/>
      <c r="S300" s="68"/>
      <c r="T300" s="64"/>
      <c r="U300" s="68"/>
      <c r="V300" s="64"/>
      <c r="W300" s="68"/>
      <c r="X300" s="64"/>
      <c r="Y300" s="65"/>
    </row>
    <row r="301" ht="14.25" customHeight="1">
      <c r="B301" s="106" t="s">
        <v>306</v>
      </c>
      <c r="C301" s="200" t="s">
        <v>307</v>
      </c>
      <c r="D301" s="70"/>
      <c r="E301" s="97"/>
      <c r="F301" s="105"/>
      <c r="G301" s="105"/>
      <c r="H301" s="105"/>
      <c r="I301" s="105"/>
      <c r="J301" s="105"/>
      <c r="K301" s="105"/>
      <c r="L301" s="107"/>
      <c r="M301" s="108"/>
      <c r="N301" s="28"/>
      <c r="R301" s="29"/>
      <c r="S301" s="140"/>
      <c r="T301" s="139"/>
      <c r="U301" s="203"/>
      <c r="V301" s="93"/>
      <c r="W301" s="203"/>
      <c r="X301" s="139"/>
      <c r="Y301" s="99"/>
    </row>
    <row r="302" ht="14.25" customHeight="1">
      <c r="B302" s="100" t="s">
        <v>308</v>
      </c>
      <c r="C302" s="91" t="s">
        <v>309</v>
      </c>
      <c r="D302" s="70"/>
      <c r="E302" s="70"/>
      <c r="L302" s="61"/>
      <c r="M302" s="62"/>
      <c r="N302" s="28"/>
      <c r="R302" s="29"/>
      <c r="S302" s="68"/>
      <c r="T302" s="64"/>
      <c r="U302" s="68"/>
      <c r="V302" s="64"/>
      <c r="W302" s="68"/>
      <c r="X302" s="64"/>
      <c r="Y302" s="65"/>
    </row>
    <row r="303" ht="14.25" customHeight="1">
      <c r="B303" s="106" t="s">
        <v>310</v>
      </c>
      <c r="C303" s="200" t="s">
        <v>311</v>
      </c>
      <c r="D303" s="70"/>
      <c r="E303" s="97"/>
      <c r="F303" s="105"/>
      <c r="G303" s="105"/>
      <c r="H303" s="105"/>
      <c r="I303" s="105"/>
      <c r="J303" s="105"/>
      <c r="K303" s="105"/>
      <c r="L303" s="107"/>
      <c r="M303" s="108"/>
      <c r="N303" s="28"/>
      <c r="R303" s="29"/>
      <c r="S303" s="140"/>
      <c r="T303" s="139"/>
      <c r="U303" s="203"/>
      <c r="V303" s="93"/>
      <c r="W303" s="203"/>
      <c r="X303" s="139"/>
      <c r="Y303" s="99"/>
    </row>
    <row r="304" ht="14.25" customHeight="1">
      <c r="B304" s="100">
        <v>6.7</v>
      </c>
      <c r="C304" s="91" t="s">
        <v>312</v>
      </c>
      <c r="D304" s="70"/>
      <c r="E304" s="70"/>
      <c r="L304" s="61"/>
      <c r="M304" s="62"/>
      <c r="N304" s="28"/>
      <c r="R304" s="29"/>
      <c r="S304" s="68"/>
      <c r="T304" s="64"/>
      <c r="U304" s="68"/>
      <c r="V304" s="64"/>
      <c r="W304" s="68"/>
      <c r="X304" s="64"/>
      <c r="Y304" s="65"/>
    </row>
    <row r="305" ht="14.25" customHeight="1">
      <c r="B305" s="106" t="s">
        <v>313</v>
      </c>
      <c r="C305" s="200" t="s">
        <v>314</v>
      </c>
      <c r="D305" s="70"/>
      <c r="E305" s="97"/>
      <c r="F305" s="105"/>
      <c r="G305" s="105"/>
      <c r="H305" s="105"/>
      <c r="I305" s="105"/>
      <c r="J305" s="105"/>
      <c r="K305" s="105"/>
      <c r="L305" s="107"/>
      <c r="M305" s="108"/>
      <c r="N305" s="28"/>
      <c r="R305" s="29"/>
      <c r="S305" s="140"/>
      <c r="T305" s="139"/>
      <c r="U305" s="203"/>
      <c r="V305" s="93"/>
      <c r="W305" s="203"/>
      <c r="X305" s="139"/>
      <c r="Y305" s="99"/>
    </row>
    <row r="306" ht="14.25" customHeight="1">
      <c r="B306" s="100" t="s">
        <v>315</v>
      </c>
      <c r="C306" s="91" t="s">
        <v>316</v>
      </c>
      <c r="D306" s="70"/>
      <c r="E306" s="70"/>
      <c r="L306" s="61"/>
      <c r="M306" s="62"/>
      <c r="N306" s="28"/>
      <c r="R306" s="29"/>
      <c r="S306" s="68"/>
      <c r="T306" s="64"/>
      <c r="U306" s="68"/>
      <c r="V306" s="64"/>
      <c r="W306" s="68"/>
      <c r="X306" s="64"/>
      <c r="Y306" s="65"/>
    </row>
    <row r="307" ht="14.25" customHeight="1">
      <c r="B307" s="106" t="s">
        <v>317</v>
      </c>
      <c r="C307" s="200" t="s">
        <v>318</v>
      </c>
      <c r="D307" s="70"/>
      <c r="E307" s="97"/>
      <c r="F307" s="105"/>
      <c r="G307" s="105"/>
      <c r="H307" s="105"/>
      <c r="I307" s="105"/>
      <c r="J307" s="105"/>
      <c r="K307" s="105"/>
      <c r="L307" s="107"/>
      <c r="M307" s="108"/>
      <c r="N307" s="28"/>
      <c r="R307" s="29"/>
      <c r="S307" s="140"/>
      <c r="T307" s="139"/>
      <c r="U307" s="203"/>
      <c r="V307" s="93"/>
      <c r="W307" s="203"/>
      <c r="X307" s="139"/>
      <c r="Y307" s="99"/>
    </row>
    <row r="308" ht="14.25" customHeight="1">
      <c r="B308" s="100" t="s">
        <v>319</v>
      </c>
      <c r="C308" s="91" t="s">
        <v>320</v>
      </c>
      <c r="D308" s="70"/>
      <c r="E308" s="70"/>
      <c r="L308" s="61"/>
      <c r="M308" s="62"/>
      <c r="N308" s="222"/>
      <c r="O308" s="223"/>
      <c r="P308" s="223"/>
      <c r="Q308" s="223"/>
      <c r="R308" s="224"/>
      <c r="S308" s="68"/>
      <c r="T308" s="64"/>
      <c r="U308" s="68"/>
      <c r="V308" s="64"/>
      <c r="W308" s="68"/>
      <c r="X308" s="64"/>
      <c r="Y308" s="65"/>
    </row>
    <row r="309" ht="14.25" customHeight="1">
      <c r="B309" s="106">
        <v>6.8</v>
      </c>
      <c r="C309" s="200" t="s">
        <v>321</v>
      </c>
      <c r="D309" s="70"/>
      <c r="E309" s="97"/>
      <c r="F309" s="105"/>
      <c r="G309" s="105"/>
      <c r="H309" s="105"/>
      <c r="I309" s="105"/>
      <c r="J309" s="105"/>
      <c r="K309" s="105"/>
      <c r="L309" s="107"/>
      <c r="M309" s="108"/>
      <c r="N309" s="78"/>
      <c r="O309" s="108"/>
      <c r="P309" s="78"/>
      <c r="Q309" s="188"/>
      <c r="R309" s="163">
        <v>0.6</v>
      </c>
      <c r="S309" s="140"/>
      <c r="T309" s="139"/>
      <c r="U309" s="203"/>
      <c r="V309" s="93">
        <v>1.0</v>
      </c>
      <c r="W309" s="187">
        <f>IFERROR(__xludf.DUMMYFUNCTION("+V309"),1.0)</f>
        <v>1</v>
      </c>
      <c r="X309" s="225">
        <f>IFERROR(__xludf.DUMMYFUNCTION("+W309-R309"),0.4)</f>
        <v>0.4</v>
      </c>
      <c r="Y309" s="99"/>
    </row>
    <row r="310" ht="14.25" customHeight="1">
      <c r="A310" s="105"/>
      <c r="B310" s="96">
        <v>6.9</v>
      </c>
      <c r="C310" s="200" t="s">
        <v>322</v>
      </c>
      <c r="D310" s="97"/>
      <c r="E310" s="97"/>
      <c r="F310" s="105"/>
      <c r="G310" s="105"/>
      <c r="H310" s="105"/>
      <c r="I310" s="105"/>
      <c r="J310" s="105"/>
      <c r="K310" s="105"/>
      <c r="L310" s="107"/>
      <c r="M310" s="108"/>
      <c r="N310" s="139"/>
      <c r="O310" s="140"/>
      <c r="P310" s="139"/>
      <c r="Q310" s="140"/>
      <c r="R310" s="139">
        <v>7.0</v>
      </c>
      <c r="S310" s="140"/>
      <c r="T310" s="139"/>
      <c r="U310" s="140">
        <v>4.0</v>
      </c>
      <c r="V310" s="139">
        <v>1.0</v>
      </c>
      <c r="W310" s="140">
        <f>SUM(S310:V310)</f>
        <v>5</v>
      </c>
      <c r="X310" s="139">
        <f>IFERROR(__xludf.DUMMYFUNCTION("+W310-R310"),-2.0)</f>
        <v>-2</v>
      </c>
      <c r="Y310" s="99"/>
      <c r="Z310" s="105"/>
      <c r="AA310" s="105"/>
      <c r="AB310" s="105"/>
      <c r="AC310" s="105"/>
      <c r="AD310" s="105"/>
      <c r="AE310" s="105"/>
    </row>
    <row r="311" ht="14.25" customHeight="1">
      <c r="A311" s="105"/>
      <c r="B311" s="106">
        <v>6.1</v>
      </c>
      <c r="C311" s="200" t="s">
        <v>323</v>
      </c>
      <c r="D311" s="97"/>
      <c r="E311" s="97"/>
      <c r="F311" s="105"/>
      <c r="G311" s="105"/>
      <c r="H311" s="105"/>
      <c r="I311" s="105"/>
      <c r="J311" s="105"/>
      <c r="K311" s="105"/>
      <c r="L311" s="107"/>
      <c r="M311" s="108"/>
      <c r="N311" s="78"/>
      <c r="O311" s="108"/>
      <c r="P311" s="78"/>
      <c r="Q311" s="188"/>
      <c r="R311" s="163"/>
      <c r="S311" s="140"/>
      <c r="T311" s="139"/>
      <c r="U311" s="203"/>
      <c r="V311" s="93"/>
      <c r="W311" s="203"/>
      <c r="X311" s="139"/>
      <c r="Y311" s="99" t="s">
        <v>324</v>
      </c>
      <c r="Z311" s="105"/>
      <c r="AA311" s="105"/>
      <c r="AB311" s="105"/>
      <c r="AC311" s="105"/>
      <c r="AD311" s="105"/>
      <c r="AE311" s="105"/>
    </row>
    <row r="312" ht="14.25" customHeight="1">
      <c r="A312" s="105"/>
      <c r="B312" s="106" t="s">
        <v>325</v>
      </c>
      <c r="C312" s="200" t="s">
        <v>326</v>
      </c>
      <c r="D312" s="97"/>
      <c r="E312" s="97"/>
      <c r="F312" s="105"/>
      <c r="G312" s="105"/>
      <c r="H312" s="105"/>
      <c r="I312" s="105"/>
      <c r="J312" s="105"/>
      <c r="K312" s="105"/>
      <c r="L312" s="107"/>
      <c r="M312" s="108"/>
      <c r="N312" s="78"/>
      <c r="O312" s="108"/>
      <c r="P312" s="78"/>
      <c r="Q312" s="188"/>
      <c r="R312" s="163"/>
      <c r="S312" s="140"/>
      <c r="T312" s="139"/>
      <c r="U312" s="203"/>
      <c r="V312" s="93"/>
      <c r="W312" s="203"/>
      <c r="X312" s="139"/>
      <c r="Y312" s="99" t="s">
        <v>327</v>
      </c>
      <c r="Z312" s="105"/>
      <c r="AA312" s="105"/>
      <c r="AB312" s="105"/>
      <c r="AC312" s="105"/>
      <c r="AD312" s="105"/>
      <c r="AE312" s="105"/>
    </row>
    <row r="313" ht="14.25" customHeight="1">
      <c r="A313" s="105"/>
      <c r="B313" s="106" t="s">
        <v>328</v>
      </c>
      <c r="C313" s="200" t="s">
        <v>329</v>
      </c>
      <c r="D313" s="97"/>
      <c r="E313" s="97"/>
      <c r="F313" s="105"/>
      <c r="G313" s="105"/>
      <c r="H313" s="105"/>
      <c r="I313" s="105"/>
      <c r="J313" s="105"/>
      <c r="K313" s="105"/>
      <c r="L313" s="107"/>
      <c r="M313" s="108"/>
      <c r="N313" s="139"/>
      <c r="O313" s="140"/>
      <c r="P313" s="139"/>
      <c r="Q313" s="140"/>
      <c r="R313" s="169">
        <v>1.0</v>
      </c>
      <c r="S313" s="187"/>
      <c r="T313" s="93">
        <v>0.8</v>
      </c>
      <c r="U313" s="187">
        <v>0.5185</v>
      </c>
      <c r="V313" s="169">
        <v>0.0</v>
      </c>
      <c r="W313" s="187">
        <v>2.7778</v>
      </c>
      <c r="X313" s="225">
        <f>IFERROR(__xludf.DUMMYFUNCTION("+W313-R313"),1.7778)</f>
        <v>1.7778</v>
      </c>
      <c r="Y313" s="99" t="s">
        <v>330</v>
      </c>
      <c r="Z313" s="105"/>
      <c r="AA313" s="105"/>
      <c r="AB313" s="105"/>
      <c r="AC313" s="105"/>
      <c r="AD313" s="105"/>
      <c r="AE313" s="105"/>
    </row>
    <row r="314" ht="14.25" customHeight="1">
      <c r="B314" s="69"/>
      <c r="C314" s="70"/>
      <c r="D314" s="70"/>
      <c r="E314" s="70"/>
      <c r="L314" s="61"/>
      <c r="M314" s="62"/>
      <c r="N314" s="64"/>
      <c r="O314" s="68"/>
      <c r="P314" s="64"/>
      <c r="Q314" s="68"/>
      <c r="R314" s="64"/>
      <c r="S314" s="68"/>
      <c r="T314" s="64"/>
      <c r="U314" s="68"/>
      <c r="V314" s="64"/>
      <c r="W314" s="68"/>
      <c r="X314" s="64"/>
      <c r="Y314" s="65"/>
    </row>
    <row r="315" ht="14.25" customHeight="1">
      <c r="B315" s="148" t="s">
        <v>331</v>
      </c>
      <c r="C315" s="144"/>
      <c r="D315" s="70"/>
      <c r="E315" s="70"/>
      <c r="L315" s="61"/>
      <c r="M315" s="62"/>
      <c r="N315" s="63"/>
      <c r="O315" s="62"/>
      <c r="P315" s="63"/>
      <c r="Q315" s="62"/>
      <c r="R315" s="63"/>
      <c r="S315" s="68"/>
      <c r="T315" s="64"/>
      <c r="U315" s="68"/>
      <c r="V315" s="64"/>
      <c r="W315" s="68"/>
      <c r="X315" s="64"/>
      <c r="Y315" s="65"/>
    </row>
    <row r="316" ht="14.25" customHeight="1">
      <c r="A316" s="105"/>
      <c r="B316" s="96">
        <v>6.11</v>
      </c>
      <c r="C316" s="200" t="s">
        <v>332</v>
      </c>
      <c r="D316" s="97"/>
      <c r="E316" s="97"/>
      <c r="F316" s="105"/>
      <c r="G316" s="105"/>
      <c r="H316" s="105"/>
      <c r="I316" s="105"/>
      <c r="J316" s="105"/>
      <c r="K316" s="105"/>
      <c r="L316" s="107"/>
      <c r="M316" s="108"/>
      <c r="N316" s="101"/>
      <c r="O316" s="188"/>
      <c r="P316" s="101"/>
      <c r="Q316" s="188"/>
      <c r="R316" s="101"/>
      <c r="S316" s="140"/>
      <c r="T316" s="101"/>
      <c r="U316" s="140"/>
      <c r="V316" s="139"/>
      <c r="W316" s="188"/>
      <c r="X316" s="139"/>
      <c r="Y316" s="99" t="s">
        <v>333</v>
      </c>
      <c r="Z316" s="105"/>
      <c r="AA316" s="105"/>
      <c r="AB316" s="105"/>
      <c r="AC316" s="105"/>
      <c r="AD316" s="105"/>
      <c r="AE316" s="105"/>
    </row>
    <row r="317" ht="14.25" customHeight="1">
      <c r="A317" s="105"/>
      <c r="B317" s="96">
        <v>6.12</v>
      </c>
      <c r="C317" s="200" t="s">
        <v>334</v>
      </c>
      <c r="D317" s="97"/>
      <c r="E317" s="97"/>
      <c r="F317" s="105"/>
      <c r="G317" s="105"/>
      <c r="H317" s="105"/>
      <c r="I317" s="105"/>
      <c r="J317" s="105"/>
      <c r="K317" s="105"/>
      <c r="L317" s="107"/>
      <c r="M317" s="108"/>
      <c r="N317" s="101" t="s">
        <v>131</v>
      </c>
      <c r="O317" s="188" t="s">
        <v>131</v>
      </c>
      <c r="P317" s="101" t="s">
        <v>131</v>
      </c>
      <c r="Q317" s="188" t="s">
        <v>131</v>
      </c>
      <c r="R317" s="101" t="s">
        <v>131</v>
      </c>
      <c r="S317" s="140">
        <v>1.0</v>
      </c>
      <c r="T317" s="101">
        <v>0.0</v>
      </c>
      <c r="U317" s="140">
        <v>0.0</v>
      </c>
      <c r="V317" s="139">
        <v>0.0</v>
      </c>
      <c r="W317" s="188">
        <f t="shared" ref="W317:W318" si="16">SUM(S317:V317)</f>
        <v>1</v>
      </c>
      <c r="X317" s="139"/>
      <c r="Y317" s="99"/>
      <c r="Z317" s="105"/>
      <c r="AA317" s="105"/>
      <c r="AB317" s="105"/>
      <c r="AC317" s="105"/>
      <c r="AD317" s="105"/>
      <c r="AE317" s="105"/>
    </row>
    <row r="318" ht="14.25" customHeight="1">
      <c r="A318" s="105"/>
      <c r="B318" s="96">
        <v>6.13</v>
      </c>
      <c r="C318" s="200" t="s">
        <v>335</v>
      </c>
      <c r="D318" s="97"/>
      <c r="E318" s="97"/>
      <c r="F318" s="105"/>
      <c r="G318" s="105"/>
      <c r="H318" s="105"/>
      <c r="I318" s="105"/>
      <c r="J318" s="105"/>
      <c r="K318" s="105"/>
      <c r="L318" s="107"/>
      <c r="M318" s="108"/>
      <c r="N318" s="101" t="s">
        <v>131</v>
      </c>
      <c r="O318" s="188" t="s">
        <v>131</v>
      </c>
      <c r="P318" s="101" t="s">
        <v>131</v>
      </c>
      <c r="Q318" s="188" t="s">
        <v>131</v>
      </c>
      <c r="R318" s="101" t="s">
        <v>131</v>
      </c>
      <c r="S318" s="140">
        <v>3.0</v>
      </c>
      <c r="T318" s="101">
        <v>7.0</v>
      </c>
      <c r="U318" s="140">
        <v>5.0</v>
      </c>
      <c r="V318" s="139">
        <v>6.0</v>
      </c>
      <c r="W318" s="188">
        <f t="shared" si="16"/>
        <v>21</v>
      </c>
      <c r="X318" s="139"/>
      <c r="Y318" s="99"/>
      <c r="Z318" s="105"/>
      <c r="AA318" s="105"/>
      <c r="AB318" s="105"/>
      <c r="AC318" s="105"/>
      <c r="AD318" s="105"/>
      <c r="AE318" s="105"/>
    </row>
    <row r="319" ht="14.25" customHeight="1">
      <c r="A319" s="105"/>
      <c r="B319" s="96">
        <v>6.14</v>
      </c>
      <c r="C319" s="200" t="s">
        <v>336</v>
      </c>
      <c r="D319" s="97"/>
      <c r="E319" s="97"/>
      <c r="F319" s="105"/>
      <c r="G319" s="105"/>
      <c r="H319" s="105"/>
      <c r="I319" s="105"/>
      <c r="J319" s="105"/>
      <c r="K319" s="105"/>
      <c r="L319" s="107"/>
      <c r="M319" s="108"/>
      <c r="N319" s="101"/>
      <c r="O319" s="188"/>
      <c r="P319" s="101"/>
      <c r="Q319" s="188"/>
      <c r="R319" s="101"/>
      <c r="S319" s="140"/>
      <c r="T319" s="101"/>
      <c r="U319" s="140"/>
      <c r="V319" s="139"/>
      <c r="W319" s="188"/>
      <c r="X319" s="139"/>
      <c r="Y319" s="99"/>
      <c r="Z319" s="105"/>
      <c r="AA319" s="105"/>
      <c r="AB319" s="105"/>
      <c r="AC319" s="105"/>
      <c r="AD319" s="105"/>
      <c r="AE319" s="105"/>
    </row>
    <row r="320" ht="14.25" customHeight="1">
      <c r="A320" s="105"/>
      <c r="B320" s="96">
        <v>6.15</v>
      </c>
      <c r="C320" s="200" t="s">
        <v>337</v>
      </c>
      <c r="D320" s="97"/>
      <c r="E320" s="97"/>
      <c r="F320" s="105"/>
      <c r="G320" s="105"/>
      <c r="H320" s="105"/>
      <c r="I320" s="105"/>
      <c r="J320" s="105"/>
      <c r="K320" s="105"/>
      <c r="L320" s="107"/>
      <c r="M320" s="108"/>
      <c r="N320" s="101"/>
      <c r="O320" s="188"/>
      <c r="P320" s="176"/>
      <c r="Q320" s="226"/>
      <c r="R320" s="176">
        <v>834959.0</v>
      </c>
      <c r="S320" s="195">
        <v>430820.0</v>
      </c>
      <c r="T320" s="98">
        <v>466529.0</v>
      </c>
      <c r="U320" s="195">
        <v>878434.0</v>
      </c>
      <c r="V320" s="98">
        <v>873695.0</v>
      </c>
      <c r="W320" s="195">
        <f>IFERROR(__xludf.DUMMYFUNCTION("+V320"),873695.0)</f>
        <v>873695</v>
      </c>
      <c r="X320" s="98">
        <f>IFERROR(__xludf.DUMMYFUNCTION("+W320-R320"),38736.0)</f>
        <v>38736</v>
      </c>
      <c r="Y320" s="99" t="s">
        <v>338</v>
      </c>
      <c r="Z320" s="105"/>
      <c r="AA320" s="105"/>
      <c r="AB320" s="105"/>
      <c r="AC320" s="105"/>
      <c r="AD320" s="105"/>
      <c r="AE320" s="105"/>
    </row>
    <row r="321" ht="14.25" customHeight="1">
      <c r="A321" s="105"/>
      <c r="B321" s="96">
        <v>6.16</v>
      </c>
      <c r="C321" s="200" t="s">
        <v>339</v>
      </c>
      <c r="D321" s="97"/>
      <c r="E321" s="97"/>
      <c r="F321" s="105"/>
      <c r="G321" s="105"/>
      <c r="H321" s="105"/>
      <c r="I321" s="105"/>
      <c r="J321" s="105"/>
      <c r="K321" s="105"/>
      <c r="L321" s="107"/>
      <c r="M321" s="108"/>
      <c r="N321" s="101" t="s">
        <v>131</v>
      </c>
      <c r="O321" s="188" t="s">
        <v>131</v>
      </c>
      <c r="P321" s="101" t="s">
        <v>131</v>
      </c>
      <c r="Q321" s="188" t="s">
        <v>131</v>
      </c>
      <c r="R321" s="176" t="s">
        <v>131</v>
      </c>
      <c r="S321" s="140"/>
      <c r="T321" s="98"/>
      <c r="U321" s="140"/>
      <c r="V321" s="139"/>
      <c r="W321" s="98"/>
      <c r="X321" s="98" t="str">
        <f>IFERROR(__xludf.DUMMYFUNCTION("+W321-R321"),"#VALUE!")</f>
        <v>#VALUE!</v>
      </c>
      <c r="Y321" s="99"/>
      <c r="Z321" s="105"/>
      <c r="AA321" s="105"/>
      <c r="AB321" s="105"/>
      <c r="AC321" s="105"/>
      <c r="AD321" s="105"/>
      <c r="AE321" s="105"/>
    </row>
    <row r="322" ht="14.25" customHeight="1">
      <c r="B322" s="148" t="s">
        <v>340</v>
      </c>
      <c r="C322" s="144"/>
      <c r="D322" s="70"/>
      <c r="E322" s="70"/>
      <c r="L322" s="61"/>
      <c r="M322" s="62"/>
      <c r="N322" s="63"/>
      <c r="O322" s="62"/>
      <c r="P322" s="63"/>
      <c r="Q322" s="62"/>
      <c r="R322" s="63"/>
      <c r="S322" s="68"/>
      <c r="T322" s="64"/>
      <c r="U322" s="68"/>
      <c r="V322" s="64"/>
      <c r="W322" s="68"/>
      <c r="X322" s="64"/>
      <c r="Y322" s="65"/>
    </row>
    <row r="323" ht="14.25" customHeight="1">
      <c r="B323" s="69">
        <v>6.17</v>
      </c>
      <c r="C323" s="91" t="s">
        <v>341</v>
      </c>
      <c r="D323" s="70"/>
      <c r="E323" s="70"/>
      <c r="L323" s="61"/>
      <c r="M323" s="62"/>
      <c r="N323" s="64">
        <v>779.0</v>
      </c>
      <c r="O323" s="68">
        <v>779.0</v>
      </c>
      <c r="P323" s="64">
        <v>779.0</v>
      </c>
      <c r="Q323" s="68">
        <v>779.0</v>
      </c>
      <c r="R323" s="64">
        <v>779.0</v>
      </c>
      <c r="S323" s="68">
        <v>779.0</v>
      </c>
      <c r="T323" s="64">
        <v>779.0</v>
      </c>
      <c r="U323" s="68">
        <v>779.0</v>
      </c>
      <c r="V323" s="64">
        <v>779.0</v>
      </c>
      <c r="W323" s="68">
        <f>IFERROR(__xludf.DUMMYFUNCTION("+T323"),779.0)</f>
        <v>779</v>
      </c>
      <c r="X323" s="64">
        <f>IFERROR(__xludf.DUMMYFUNCTION("+W323-R323"),0.0)</f>
        <v>0</v>
      </c>
      <c r="Y323" s="65"/>
    </row>
    <row r="324" ht="14.25" customHeight="1">
      <c r="B324" s="69">
        <v>6.18</v>
      </c>
      <c r="C324" s="91" t="s">
        <v>342</v>
      </c>
      <c r="D324" s="70"/>
      <c r="E324" s="70"/>
      <c r="L324" s="61"/>
      <c r="M324" s="62"/>
      <c r="N324" s="114">
        <v>1.0</v>
      </c>
      <c r="O324" s="115">
        <v>1.0</v>
      </c>
      <c r="P324" s="114">
        <v>1.0</v>
      </c>
      <c r="Q324" s="115">
        <v>1.0</v>
      </c>
      <c r="R324" s="114">
        <v>1.0</v>
      </c>
      <c r="S324" s="115">
        <v>1.0</v>
      </c>
      <c r="T324" s="114">
        <v>1.0</v>
      </c>
      <c r="U324" s="115">
        <v>1.0</v>
      </c>
      <c r="V324" s="114">
        <v>1.0</v>
      </c>
      <c r="W324" s="115">
        <f>IFERROR(__xludf.DUMMYFUNCTION("+T324"),1.0)</f>
        <v>1</v>
      </c>
      <c r="X324" s="114">
        <f>IFERROR(__xludf.DUMMYFUNCTION("+W324-R324"),0.0)</f>
        <v>0</v>
      </c>
      <c r="Y324" s="65"/>
    </row>
    <row r="325" ht="14.25" customHeight="1">
      <c r="B325" s="69">
        <v>6.19</v>
      </c>
      <c r="C325" s="91" t="s">
        <v>343</v>
      </c>
      <c r="D325" s="70"/>
      <c r="E325" s="70"/>
      <c r="L325" s="61"/>
      <c r="M325" s="62"/>
      <c r="N325" s="114"/>
      <c r="O325" s="115"/>
      <c r="P325" s="114"/>
      <c r="Q325" s="115">
        <v>1.0</v>
      </c>
      <c r="R325" s="114">
        <v>1.0</v>
      </c>
      <c r="S325" s="115"/>
      <c r="T325" s="114"/>
      <c r="U325" s="115"/>
      <c r="V325" s="114"/>
      <c r="W325" s="115" t="str">
        <f>IFERROR(__xludf.DUMMYFUNCTION("+T325"),"")</f>
        <v/>
      </c>
      <c r="X325" s="114">
        <f>IFERROR(__xludf.DUMMYFUNCTION("+W325-R325"),-1.0)</f>
        <v>-1</v>
      </c>
      <c r="Y325" s="95" t="s">
        <v>344</v>
      </c>
    </row>
    <row r="326" ht="14.25" customHeight="1">
      <c r="B326" s="227">
        <v>6.2</v>
      </c>
      <c r="C326" s="91" t="s">
        <v>345</v>
      </c>
      <c r="D326" s="70"/>
      <c r="E326" s="70"/>
      <c r="L326" s="61"/>
      <c r="M326" s="62"/>
      <c r="N326" s="114">
        <v>0.95</v>
      </c>
      <c r="O326" s="115">
        <v>0.95</v>
      </c>
      <c r="P326" s="114">
        <v>0.95</v>
      </c>
      <c r="Q326" s="115">
        <v>0.95</v>
      </c>
      <c r="R326" s="114">
        <v>0.95</v>
      </c>
      <c r="S326" s="115">
        <v>1.0</v>
      </c>
      <c r="T326" s="114">
        <v>1.0</v>
      </c>
      <c r="U326" s="115">
        <v>1.0</v>
      </c>
      <c r="V326" s="114">
        <v>1.0</v>
      </c>
      <c r="W326" s="115">
        <f>IFERROR(__xludf.DUMMYFUNCTION("+T326"),1.0)</f>
        <v>1</v>
      </c>
      <c r="X326" s="114">
        <f>IFERROR(__xludf.DUMMYFUNCTION("+W326-R326"),0.050000000000000044)</f>
        <v>0.05</v>
      </c>
      <c r="Y326" s="65"/>
    </row>
    <row r="327" ht="14.25" customHeight="1">
      <c r="B327" s="228">
        <v>6.21</v>
      </c>
      <c r="C327" s="185" t="s">
        <v>346</v>
      </c>
      <c r="D327" s="194"/>
      <c r="E327" s="183"/>
      <c r="L327" s="61"/>
      <c r="M327" s="62"/>
      <c r="N327" s="229">
        <v>8.0</v>
      </c>
      <c r="O327" s="230">
        <v>8.0</v>
      </c>
      <c r="P327" s="229">
        <v>8.0</v>
      </c>
      <c r="Q327" s="230">
        <v>8.0</v>
      </c>
      <c r="R327" s="229">
        <v>8.0</v>
      </c>
      <c r="S327" s="230">
        <v>8.0</v>
      </c>
      <c r="T327" s="229">
        <v>8.0</v>
      </c>
      <c r="U327" s="230">
        <v>8.0</v>
      </c>
      <c r="V327" s="229">
        <v>8.0</v>
      </c>
      <c r="W327" s="230">
        <f>IFERROR(__xludf.DUMMYFUNCTION("+T327"),8.0)</f>
        <v>8</v>
      </c>
      <c r="X327" s="229">
        <f>IFERROR(__xludf.DUMMYFUNCTION("+W327-R327"),0.0)</f>
        <v>0</v>
      </c>
      <c r="Y327" s="99"/>
    </row>
    <row r="328" ht="14.25" customHeight="1">
      <c r="B328" s="69">
        <v>6.22</v>
      </c>
      <c r="C328" s="231" t="s">
        <v>347</v>
      </c>
      <c r="D328" s="154"/>
      <c r="L328" s="61"/>
      <c r="M328" s="62"/>
      <c r="N328" s="229">
        <v>1.0</v>
      </c>
      <c r="O328" s="230">
        <v>1.0</v>
      </c>
      <c r="P328" s="229">
        <v>1.0</v>
      </c>
      <c r="Q328" s="230">
        <v>1.0</v>
      </c>
      <c r="R328" s="232">
        <v>1.0</v>
      </c>
      <c r="S328" s="230">
        <v>1.0</v>
      </c>
      <c r="T328" s="229">
        <v>1.0</v>
      </c>
      <c r="U328" s="230">
        <v>1.0</v>
      </c>
      <c r="V328" s="229">
        <v>1.0</v>
      </c>
      <c r="W328" s="230">
        <f>IFERROR(__xludf.DUMMYFUNCTION("+T328"),1.0)</f>
        <v>1</v>
      </c>
      <c r="X328" s="229">
        <f>IFERROR(__xludf.DUMMYFUNCTION("+W328-R328"),0.0)</f>
        <v>0</v>
      </c>
      <c r="Y328" s="65"/>
    </row>
    <row r="329" ht="14.25" customHeight="1">
      <c r="B329" s="148" t="s">
        <v>348</v>
      </c>
      <c r="C329" s="183"/>
      <c r="D329" s="154"/>
      <c r="L329" s="61"/>
      <c r="M329" s="62"/>
      <c r="N329" s="63"/>
      <c r="O329" s="62"/>
      <c r="P329" s="63"/>
      <c r="Q329" s="62"/>
      <c r="R329" s="78"/>
      <c r="S329" s="230"/>
      <c r="T329" s="229"/>
      <c r="U329" s="230"/>
      <c r="V329" s="229"/>
      <c r="W329" s="230"/>
      <c r="X329" s="64"/>
      <c r="Y329" s="65"/>
    </row>
    <row r="330" ht="14.25" customHeight="1">
      <c r="A330" s="105"/>
      <c r="B330" s="96">
        <v>6.12</v>
      </c>
      <c r="C330" s="185" t="s">
        <v>349</v>
      </c>
      <c r="D330" s="196"/>
      <c r="E330" s="105"/>
      <c r="F330" s="105"/>
      <c r="G330" s="105"/>
      <c r="H330" s="105"/>
      <c r="I330" s="105"/>
      <c r="J330" s="105"/>
      <c r="K330" s="105"/>
      <c r="L330" s="107"/>
      <c r="M330" s="108"/>
      <c r="N330" s="169"/>
      <c r="O330" s="169"/>
      <c r="P330" s="169"/>
      <c r="Q330" s="169"/>
      <c r="R330" s="169">
        <v>0.55</v>
      </c>
      <c r="S330" s="140"/>
      <c r="T330" s="169">
        <v>1.0</v>
      </c>
      <c r="U330" s="140"/>
      <c r="V330" s="169"/>
      <c r="W330" s="203">
        <f>IFERROR(__xludf.DUMMYFUNCTION("+T330"),1.0)</f>
        <v>1</v>
      </c>
      <c r="X330" s="139"/>
      <c r="Y330" s="99"/>
      <c r="Z330" s="105"/>
      <c r="AA330" s="105"/>
      <c r="AB330" s="105"/>
      <c r="AC330" s="105"/>
      <c r="AD330" s="105"/>
      <c r="AE330" s="105"/>
    </row>
    <row r="331" ht="14.25" customHeight="1">
      <c r="B331" s="69">
        <v>6.13</v>
      </c>
      <c r="C331" s="231" t="s">
        <v>350</v>
      </c>
      <c r="D331" s="154"/>
      <c r="L331" s="61"/>
      <c r="M331" s="62"/>
      <c r="N331" s="114"/>
      <c r="O331" s="114"/>
      <c r="P331" s="114"/>
      <c r="Q331" s="114"/>
      <c r="R331" s="114">
        <v>0.52</v>
      </c>
      <c r="S331" s="115"/>
      <c r="T331" s="114"/>
      <c r="U331" s="115"/>
      <c r="V331" s="114"/>
      <c r="W331" s="115" t="str">
        <f>IFERROR(__xludf.DUMMYFUNCTION("+U331"),"")</f>
        <v/>
      </c>
      <c r="X331" s="114">
        <f>IFERROR(__xludf.DUMMYFUNCTION("+W331-R331"),-0.52)</f>
        <v>-0.52</v>
      </c>
      <c r="Y331" s="65"/>
    </row>
    <row r="332" ht="14.25" customHeight="1">
      <c r="B332" s="148" t="s">
        <v>351</v>
      </c>
      <c r="C332" s="183"/>
      <c r="D332" s="154"/>
      <c r="L332" s="61"/>
      <c r="M332" s="62"/>
      <c r="N332" s="63"/>
      <c r="O332" s="62"/>
      <c r="P332" s="63"/>
      <c r="Q332" s="62"/>
      <c r="R332" s="78"/>
      <c r="S332" s="68"/>
      <c r="T332" s="64"/>
      <c r="U332" s="68"/>
      <c r="V332" s="64"/>
      <c r="W332" s="68"/>
      <c r="X332" s="64"/>
      <c r="Y332" s="65"/>
    </row>
    <row r="333" ht="14.25" customHeight="1">
      <c r="B333" s="69">
        <v>6.14</v>
      </c>
      <c r="C333" s="231" t="s">
        <v>352</v>
      </c>
      <c r="D333" s="154"/>
      <c r="L333" s="61"/>
      <c r="M333" s="62"/>
      <c r="N333" s="64"/>
      <c r="O333" s="68"/>
      <c r="P333" s="64"/>
      <c r="Q333" s="115">
        <v>0.25</v>
      </c>
      <c r="R333" s="169">
        <v>0.25</v>
      </c>
      <c r="S333" s="115"/>
      <c r="T333" s="64"/>
      <c r="U333" s="68"/>
      <c r="V333" s="114"/>
      <c r="W333" s="115" t="str">
        <f>IFERROR(__xludf.DUMMYFUNCTION("+V333"),"")</f>
        <v/>
      </c>
      <c r="X333" s="114">
        <f>IFERROR(__xludf.DUMMYFUNCTION("+W333-R333"),-0.25)</f>
        <v>-0.25</v>
      </c>
      <c r="Y333" s="89"/>
    </row>
    <row r="334" ht="14.25" customHeight="1">
      <c r="B334" s="69">
        <v>6.15</v>
      </c>
      <c r="C334" s="231" t="s">
        <v>353</v>
      </c>
      <c r="D334" s="77"/>
      <c r="E334" s="77"/>
      <c r="L334" s="61"/>
      <c r="M334" s="62"/>
      <c r="N334" s="64"/>
      <c r="O334" s="68"/>
      <c r="P334" s="64"/>
      <c r="Q334" s="68"/>
      <c r="R334" s="64"/>
      <c r="S334" s="68"/>
      <c r="T334" s="64"/>
      <c r="U334" s="68"/>
      <c r="V334" s="64"/>
      <c r="W334" s="68"/>
      <c r="X334" s="64"/>
      <c r="Y334" s="65"/>
    </row>
    <row r="335" ht="14.25" customHeight="1">
      <c r="B335" s="69"/>
      <c r="C335" s="231" t="s">
        <v>354</v>
      </c>
      <c r="D335" s="183"/>
      <c r="E335" s="183"/>
      <c r="L335" s="61"/>
      <c r="M335" s="62"/>
      <c r="N335" s="64"/>
      <c r="O335" s="68">
        <v>2.0</v>
      </c>
      <c r="P335" s="64"/>
      <c r="Q335" s="68">
        <v>2.0</v>
      </c>
      <c r="R335" s="64">
        <v>4.0</v>
      </c>
      <c r="S335" s="68"/>
      <c r="T335" s="64">
        <v>36.0</v>
      </c>
      <c r="U335" s="68">
        <v>18.0</v>
      </c>
      <c r="V335" s="64">
        <v>14.0</v>
      </c>
      <c r="W335" s="68">
        <f t="shared" ref="W335:W338" si="17">SUM(S335:V335)</f>
        <v>68</v>
      </c>
      <c r="X335" s="64">
        <f>IFERROR(__xludf.DUMMYFUNCTION("+W335-R335"),64.0)</f>
        <v>64</v>
      </c>
      <c r="Y335" s="65"/>
    </row>
    <row r="336" ht="14.25" customHeight="1">
      <c r="B336" s="69"/>
      <c r="C336" s="231" t="s">
        <v>355</v>
      </c>
      <c r="D336" s="154"/>
      <c r="L336" s="61"/>
      <c r="M336" s="62"/>
      <c r="N336" s="64">
        <v>6.0</v>
      </c>
      <c r="O336" s="68">
        <v>6.0</v>
      </c>
      <c r="P336" s="64">
        <v>6.0</v>
      </c>
      <c r="Q336" s="68">
        <v>6.0</v>
      </c>
      <c r="R336" s="64">
        <v>24.0</v>
      </c>
      <c r="S336" s="68">
        <v>225.0</v>
      </c>
      <c r="T336" s="64">
        <v>362.0</v>
      </c>
      <c r="U336" s="68">
        <v>385.0</v>
      </c>
      <c r="V336" s="64">
        <v>6.0</v>
      </c>
      <c r="W336" s="68">
        <f t="shared" si="17"/>
        <v>978</v>
      </c>
      <c r="X336" s="64">
        <f>IFERROR(__xludf.DUMMYFUNCTION("+W336-R336"),954.0)</f>
        <v>954</v>
      </c>
      <c r="Y336" s="65"/>
    </row>
    <row r="337" ht="14.25" customHeight="1">
      <c r="B337" s="69"/>
      <c r="C337" s="231" t="s">
        <v>356</v>
      </c>
      <c r="D337" s="70"/>
      <c r="L337" s="61"/>
      <c r="M337" s="62"/>
      <c r="N337" s="64"/>
      <c r="O337" s="68">
        <v>1.0</v>
      </c>
      <c r="P337" s="64">
        <v>1.0</v>
      </c>
      <c r="Q337" s="68">
        <v>1.0</v>
      </c>
      <c r="R337" s="64">
        <v>3.0</v>
      </c>
      <c r="S337" s="64"/>
      <c r="T337" s="64">
        <v>3.0</v>
      </c>
      <c r="U337" s="68">
        <v>21.0</v>
      </c>
      <c r="V337" s="64">
        <v>4.0</v>
      </c>
      <c r="W337" s="68">
        <f t="shared" si="17"/>
        <v>28</v>
      </c>
      <c r="X337" s="64">
        <f>IFERROR(__xludf.DUMMYFUNCTION("+W337-R337"),25.0)</f>
        <v>25</v>
      </c>
      <c r="Y337" s="65"/>
    </row>
    <row r="338" ht="14.25" customHeight="1">
      <c r="B338" s="69">
        <v>6.16</v>
      </c>
      <c r="C338" s="231" t="s">
        <v>357</v>
      </c>
      <c r="D338" s="70"/>
      <c r="L338" s="61"/>
      <c r="M338" s="62"/>
      <c r="N338" s="64"/>
      <c r="O338" s="68"/>
      <c r="P338" s="64"/>
      <c r="Q338" s="68"/>
      <c r="R338" s="64"/>
      <c r="S338" s="64"/>
      <c r="T338" s="64"/>
      <c r="U338" s="68"/>
      <c r="V338" s="64">
        <v>9.0</v>
      </c>
      <c r="W338" s="68">
        <f t="shared" si="17"/>
        <v>9</v>
      </c>
      <c r="X338" s="64">
        <f>IFERROR(__xludf.DUMMYFUNCTION("+W338-R338"),9.0)</f>
        <v>9</v>
      </c>
      <c r="Y338" s="65"/>
    </row>
    <row r="339" ht="14.25" customHeight="1">
      <c r="B339" s="148" t="s">
        <v>358</v>
      </c>
      <c r="C339" s="183"/>
      <c r="D339" s="70"/>
      <c r="L339" s="61"/>
      <c r="M339" s="62"/>
      <c r="N339" s="64"/>
      <c r="O339" s="62"/>
      <c r="P339" s="63"/>
      <c r="Q339" s="62"/>
      <c r="R339" s="63"/>
      <c r="S339" s="64"/>
      <c r="T339" s="64"/>
      <c r="U339" s="68"/>
      <c r="V339" s="64"/>
      <c r="W339" s="68"/>
      <c r="X339" s="64"/>
      <c r="Y339" s="65"/>
    </row>
    <row r="340" ht="14.25" customHeight="1">
      <c r="B340" s="69">
        <v>6.17</v>
      </c>
      <c r="C340" s="231" t="s">
        <v>359</v>
      </c>
      <c r="D340" s="70"/>
      <c r="L340" s="61"/>
      <c r="M340" s="62"/>
      <c r="N340" s="139"/>
      <c r="O340" s="140">
        <v>1.0</v>
      </c>
      <c r="P340" s="139"/>
      <c r="Q340" s="140">
        <v>1.0</v>
      </c>
      <c r="R340" s="139">
        <v>2.0</v>
      </c>
      <c r="S340" s="64"/>
      <c r="T340" s="139">
        <v>2.0</v>
      </c>
      <c r="U340" s="68">
        <v>0.0</v>
      </c>
      <c r="V340" s="64">
        <v>0.0</v>
      </c>
      <c r="W340" s="68">
        <f t="shared" ref="W340:W341" si="18">SUM(S340:V340)</f>
        <v>2</v>
      </c>
      <c r="X340" s="64">
        <f>IFERROR(__xludf.DUMMYFUNCTION("+W340-R340"),0.0)</f>
        <v>0</v>
      </c>
      <c r="Y340" s="95"/>
    </row>
    <row r="341" ht="14.25" customHeight="1">
      <c r="B341" s="69">
        <v>6.18</v>
      </c>
      <c r="C341" s="231" t="s">
        <v>360</v>
      </c>
      <c r="D341" s="70"/>
      <c r="L341" s="61"/>
      <c r="M341" s="62"/>
      <c r="N341" s="139"/>
      <c r="O341" s="140">
        <v>1.0</v>
      </c>
      <c r="P341" s="139"/>
      <c r="Q341" s="140">
        <v>1.0</v>
      </c>
      <c r="R341" s="139">
        <v>2.0</v>
      </c>
      <c r="S341" s="64"/>
      <c r="T341" s="64">
        <v>1.0</v>
      </c>
      <c r="U341" s="68">
        <v>1.0</v>
      </c>
      <c r="V341" s="64">
        <v>0.0</v>
      </c>
      <c r="W341" s="68">
        <f t="shared" si="18"/>
        <v>2</v>
      </c>
      <c r="X341" s="64">
        <f>IFERROR(__xludf.DUMMYFUNCTION("+W341-R341"),0.0)</f>
        <v>0</v>
      </c>
      <c r="Y341" s="65"/>
    </row>
    <row r="342" ht="14.25" customHeight="1">
      <c r="B342" s="148"/>
      <c r="C342" s="183"/>
      <c r="D342" s="70"/>
      <c r="L342" s="61"/>
      <c r="M342" s="62"/>
      <c r="N342" s="64"/>
      <c r="O342" s="62"/>
      <c r="P342" s="63"/>
      <c r="Q342" s="62"/>
      <c r="R342" s="64"/>
      <c r="S342" s="64"/>
      <c r="T342" s="64"/>
      <c r="U342" s="68"/>
      <c r="V342" s="64"/>
      <c r="W342" s="68"/>
      <c r="X342" s="64"/>
      <c r="Y342" s="65"/>
    </row>
    <row r="343" ht="14.25" customHeight="1">
      <c r="B343" s="148" t="s">
        <v>361</v>
      </c>
      <c r="C343" s="183"/>
      <c r="D343" s="70"/>
      <c r="L343" s="61"/>
      <c r="M343" s="62"/>
      <c r="N343" s="64"/>
      <c r="O343" s="62"/>
      <c r="P343" s="63"/>
      <c r="Q343" s="62"/>
      <c r="R343" s="64"/>
      <c r="S343" s="64"/>
      <c r="T343" s="64"/>
      <c r="U343" s="68"/>
      <c r="V343" s="64"/>
      <c r="W343" s="68"/>
      <c r="X343" s="64"/>
      <c r="Y343" s="65"/>
    </row>
    <row r="344" ht="14.25" customHeight="1">
      <c r="B344" s="148" t="s">
        <v>362</v>
      </c>
      <c r="C344" s="183"/>
      <c r="D344" s="70"/>
      <c r="L344" s="61"/>
      <c r="M344" s="62"/>
      <c r="N344" s="64"/>
      <c r="O344" s="62"/>
      <c r="P344" s="63"/>
      <c r="Q344" s="62"/>
      <c r="R344" s="64"/>
      <c r="S344" s="64"/>
      <c r="T344" s="64"/>
      <c r="U344" s="68"/>
      <c r="V344" s="64"/>
      <c r="W344" s="68"/>
      <c r="X344" s="64"/>
      <c r="Y344" s="65"/>
    </row>
    <row r="345" ht="14.25" customHeight="1">
      <c r="B345" s="69">
        <v>7.1</v>
      </c>
      <c r="C345" s="231" t="s">
        <v>363</v>
      </c>
      <c r="D345" s="77"/>
      <c r="E345" s="77"/>
      <c r="L345" s="61"/>
      <c r="M345" s="62"/>
      <c r="N345" s="114">
        <v>0.9</v>
      </c>
      <c r="O345" s="115">
        <v>0.9</v>
      </c>
      <c r="P345" s="114">
        <v>0.9</v>
      </c>
      <c r="Q345" s="115">
        <v>0.9</v>
      </c>
      <c r="R345" s="114">
        <v>0.9</v>
      </c>
      <c r="S345" s="92">
        <v>0.9391</v>
      </c>
      <c r="T345" s="92">
        <v>0.8955</v>
      </c>
      <c r="U345" s="145">
        <v>0.9183673469387755</v>
      </c>
      <c r="V345" s="92">
        <v>0.977</v>
      </c>
      <c r="W345" s="145">
        <f t="shared" ref="W345:W347" si="19">AVERAGE(S345:V345)</f>
        <v>0.9324918367</v>
      </c>
      <c r="X345" s="92">
        <f>IFERROR(__xludf.DUMMYFUNCTION("+W345-R345"),0.0324918367346938)</f>
        <v>0.03249183673</v>
      </c>
      <c r="Y345" s="65"/>
    </row>
    <row r="346" ht="14.25" customHeight="1">
      <c r="B346" s="69">
        <v>7.2</v>
      </c>
      <c r="C346" s="231" t="s">
        <v>364</v>
      </c>
      <c r="D346" s="77"/>
      <c r="E346" s="77"/>
      <c r="L346" s="61"/>
      <c r="M346" s="62"/>
      <c r="N346" s="114"/>
      <c r="O346" s="115"/>
      <c r="P346" s="114"/>
      <c r="Q346" s="115"/>
      <c r="R346" s="114">
        <v>1.0</v>
      </c>
      <c r="S346" s="92">
        <v>0.4921</v>
      </c>
      <c r="T346" s="92">
        <v>0.9394</v>
      </c>
      <c r="U346" s="145">
        <v>0.9393939393939394</v>
      </c>
      <c r="V346" s="92">
        <v>0.7795</v>
      </c>
      <c r="W346" s="145">
        <f t="shared" si="19"/>
        <v>0.7875984848</v>
      </c>
      <c r="X346" s="92">
        <f>IFERROR(__xludf.DUMMYFUNCTION("+W346-R346"),-0.21240151515151517)</f>
        <v>-0.2124015152</v>
      </c>
      <c r="Y346" s="65"/>
    </row>
    <row r="347" ht="14.25" customHeight="1">
      <c r="B347" s="69">
        <v>7.3</v>
      </c>
      <c r="C347" s="231" t="s">
        <v>365</v>
      </c>
      <c r="D347" s="154"/>
      <c r="E347" s="77"/>
      <c r="L347" s="61"/>
      <c r="M347" s="62"/>
      <c r="N347" s="114">
        <v>1.0</v>
      </c>
      <c r="O347" s="115">
        <v>1.0</v>
      </c>
      <c r="P347" s="114">
        <v>1.0</v>
      </c>
      <c r="Q347" s="115">
        <v>1.0</v>
      </c>
      <c r="R347" s="114">
        <v>1.0</v>
      </c>
      <c r="S347" s="92">
        <v>1.0</v>
      </c>
      <c r="T347" s="92">
        <v>1.0</v>
      </c>
      <c r="U347" s="145">
        <v>1.0</v>
      </c>
      <c r="V347" s="92">
        <v>1.0</v>
      </c>
      <c r="W347" s="145">
        <f t="shared" si="19"/>
        <v>1</v>
      </c>
      <c r="X347" s="92">
        <f>IFERROR(__xludf.DUMMYFUNCTION("+W347-R347"),0.0)</f>
        <v>0</v>
      </c>
      <c r="Y347" s="65"/>
    </row>
    <row r="348" ht="14.25" customHeight="1">
      <c r="B348" s="148" t="s">
        <v>366</v>
      </c>
      <c r="C348" s="183"/>
      <c r="D348" s="70"/>
      <c r="E348" s="233"/>
      <c r="L348" s="61"/>
      <c r="M348" s="62"/>
      <c r="N348" s="64"/>
      <c r="O348" s="68"/>
      <c r="P348" s="64"/>
      <c r="Q348" s="68"/>
      <c r="R348" s="63"/>
      <c r="S348" s="64"/>
      <c r="T348" s="64"/>
      <c r="U348" s="68"/>
      <c r="V348" s="64"/>
      <c r="W348" s="68"/>
      <c r="X348" s="64"/>
      <c r="Y348" s="65"/>
    </row>
    <row r="349" ht="14.25" customHeight="1">
      <c r="B349" s="69">
        <v>7.4</v>
      </c>
      <c r="C349" s="231" t="s">
        <v>367</v>
      </c>
      <c r="D349" s="70"/>
      <c r="E349" s="77"/>
      <c r="L349" s="61"/>
      <c r="M349" s="62"/>
      <c r="N349" s="64"/>
      <c r="O349" s="62"/>
      <c r="P349" s="63"/>
      <c r="Q349" s="62"/>
      <c r="R349" s="114"/>
      <c r="S349" s="64"/>
      <c r="T349" s="64"/>
      <c r="U349" s="68"/>
      <c r="V349" s="234" t="s">
        <v>368</v>
      </c>
      <c r="W349" s="68" t="str">
        <f>IFERROR(__xludf.DUMMYFUNCTION("+V349"),"-")</f>
        <v>-</v>
      </c>
      <c r="X349" s="117"/>
      <c r="Y349" s="235"/>
    </row>
    <row r="350" ht="14.25" customHeight="1">
      <c r="B350" s="69">
        <v>7.5</v>
      </c>
      <c r="C350" s="231" t="s">
        <v>369</v>
      </c>
      <c r="D350" s="70"/>
      <c r="E350" s="233"/>
      <c r="L350" s="61"/>
      <c r="M350" s="62"/>
      <c r="N350" s="64"/>
      <c r="O350" s="68"/>
      <c r="P350" s="64"/>
      <c r="Q350" s="68"/>
      <c r="R350" s="114"/>
      <c r="S350" s="64"/>
      <c r="T350" s="64"/>
      <c r="U350" s="68"/>
      <c r="V350" s="234" t="s">
        <v>368</v>
      </c>
      <c r="W350" s="68" t="str">
        <f>IFERROR(__xludf.DUMMYFUNCTION("+V350"),"-")</f>
        <v>-</v>
      </c>
      <c r="X350" s="117"/>
      <c r="Y350" s="235" t="s">
        <v>370</v>
      </c>
    </row>
    <row r="351" ht="14.25" customHeight="1">
      <c r="B351" s="69">
        <v>7.6</v>
      </c>
      <c r="C351" s="231" t="s">
        <v>371</v>
      </c>
      <c r="D351" s="70"/>
      <c r="L351" s="61"/>
      <c r="M351" s="62"/>
      <c r="N351" s="64"/>
      <c r="O351" s="68"/>
      <c r="P351" s="64"/>
      <c r="Q351" s="68"/>
      <c r="R351" s="114"/>
      <c r="S351" s="64"/>
      <c r="T351" s="114"/>
      <c r="U351" s="68"/>
      <c r="V351" s="114"/>
      <c r="W351" s="115" t="str">
        <f>IFERROR(__xludf.DUMMYFUNCTION("+V351"),"")</f>
        <v/>
      </c>
      <c r="X351" s="117"/>
      <c r="Y351" s="236"/>
    </row>
    <row r="352" ht="14.25" customHeight="1">
      <c r="B352" s="148" t="s">
        <v>372</v>
      </c>
      <c r="C352" s="183"/>
      <c r="D352" s="70"/>
      <c r="L352" s="61"/>
      <c r="M352" s="62"/>
      <c r="N352" s="64"/>
      <c r="O352" s="68"/>
      <c r="P352" s="64"/>
      <c r="Q352" s="68"/>
      <c r="R352" s="64"/>
      <c r="S352" s="64"/>
      <c r="T352" s="64"/>
      <c r="U352" s="68"/>
      <c r="V352" s="64"/>
      <c r="W352" s="68"/>
      <c r="X352" s="117"/>
      <c r="Y352" s="63"/>
    </row>
    <row r="353" ht="14.25" customHeight="1">
      <c r="B353" s="69">
        <v>7.7</v>
      </c>
      <c r="C353" s="231" t="s">
        <v>373</v>
      </c>
      <c r="D353" s="70"/>
      <c r="L353" s="61"/>
      <c r="M353" s="62"/>
      <c r="N353" s="64">
        <v>1.0</v>
      </c>
      <c r="O353" s="68">
        <v>1.0</v>
      </c>
      <c r="P353" s="64">
        <v>1.0</v>
      </c>
      <c r="Q353" s="68">
        <v>1.0</v>
      </c>
      <c r="R353" s="235">
        <v>4.0</v>
      </c>
      <c r="S353" s="235">
        <v>2.0</v>
      </c>
      <c r="T353" s="64">
        <v>2.0</v>
      </c>
      <c r="U353" s="237">
        <v>2.0</v>
      </c>
      <c r="V353" s="235">
        <v>3.0</v>
      </c>
      <c r="W353" s="235">
        <f>SUM(S353:V353)</f>
        <v>9</v>
      </c>
      <c r="X353" s="64">
        <f>IFERROR(__xludf.DUMMYFUNCTION("+W353-R353"),5.0)</f>
        <v>5</v>
      </c>
      <c r="Y353" s="65"/>
    </row>
    <row r="354" ht="31.5" customHeight="1">
      <c r="A354" s="105"/>
      <c r="B354" s="96">
        <v>7.8</v>
      </c>
      <c r="C354" s="185" t="s">
        <v>374</v>
      </c>
      <c r="D354" s="97"/>
      <c r="E354" s="105"/>
      <c r="F354" s="105"/>
      <c r="G354" s="105"/>
      <c r="H354" s="105"/>
      <c r="I354" s="105"/>
      <c r="J354" s="105"/>
      <c r="K354" s="105"/>
      <c r="L354" s="107"/>
      <c r="M354" s="108"/>
      <c r="N354" s="169"/>
      <c r="O354" s="203"/>
      <c r="P354" s="169"/>
      <c r="Q354" s="203"/>
      <c r="R354" s="153">
        <v>0.9</v>
      </c>
      <c r="S354" s="163"/>
      <c r="T354" s="169"/>
      <c r="U354" s="189"/>
      <c r="V354" s="153"/>
      <c r="W354" s="153"/>
      <c r="X354" s="93">
        <f>IFERROR(__xludf.DUMMYFUNCTION("+W354-R354"),-0.9)</f>
        <v>-0.9</v>
      </c>
      <c r="Y354" s="99" t="s">
        <v>375</v>
      </c>
      <c r="Z354" s="105"/>
      <c r="AA354" s="105"/>
      <c r="AB354" s="105"/>
      <c r="AC354" s="105"/>
      <c r="AD354" s="105"/>
      <c r="AE354" s="105"/>
    </row>
    <row r="355" ht="45.0" customHeight="1">
      <c r="B355" s="69">
        <v>7.9</v>
      </c>
      <c r="C355" s="231" t="s">
        <v>376</v>
      </c>
      <c r="D355" s="70"/>
      <c r="L355" s="61"/>
      <c r="M355" s="62"/>
      <c r="N355" s="101" t="s">
        <v>377</v>
      </c>
      <c r="O355" s="101" t="s">
        <v>377</v>
      </c>
      <c r="P355" s="101" t="s">
        <v>377</v>
      </c>
      <c r="Q355" s="101" t="s">
        <v>377</v>
      </c>
      <c r="R355" s="101" t="s">
        <v>377</v>
      </c>
      <c r="S355" s="235" t="s">
        <v>377</v>
      </c>
      <c r="T355" s="235" t="s">
        <v>378</v>
      </c>
      <c r="U355" s="235" t="s">
        <v>378</v>
      </c>
      <c r="V355" s="237" t="s">
        <v>379</v>
      </c>
      <c r="W355" s="101" t="str">
        <f>T355</f>
        <v>25 vehicles 
5 motorcycles</v>
      </c>
      <c r="X355" s="64"/>
      <c r="Y355" s="238" t="s">
        <v>380</v>
      </c>
    </row>
    <row r="356" ht="14.25" customHeight="1">
      <c r="B356" s="69">
        <v>7.1</v>
      </c>
      <c r="C356" s="231" t="s">
        <v>381</v>
      </c>
      <c r="D356" s="77"/>
      <c r="L356" s="61"/>
      <c r="M356" s="62"/>
      <c r="N356" s="64"/>
      <c r="O356" s="62"/>
      <c r="P356" s="114"/>
      <c r="Q356" s="115"/>
      <c r="R356" s="239"/>
      <c r="S356" s="239"/>
      <c r="T356" s="235"/>
      <c r="U356" s="237"/>
      <c r="V356" s="235"/>
      <c r="W356" s="163"/>
      <c r="X356" s="64"/>
      <c r="Y356" s="99"/>
    </row>
    <row r="357" ht="14.25" customHeight="1">
      <c r="A357" s="105"/>
      <c r="B357" s="96"/>
      <c r="C357" s="240" t="s">
        <v>382</v>
      </c>
      <c r="D357" s="126"/>
      <c r="E357" s="105"/>
      <c r="F357" s="105"/>
      <c r="G357" s="105"/>
      <c r="H357" s="105"/>
      <c r="I357" s="105"/>
      <c r="J357" s="105"/>
      <c r="K357" s="105"/>
      <c r="L357" s="107"/>
      <c r="M357" s="108"/>
      <c r="N357" s="169"/>
      <c r="O357" s="203"/>
      <c r="P357" s="169"/>
      <c r="Q357" s="203"/>
      <c r="R357" s="163">
        <v>1.0</v>
      </c>
      <c r="S357" s="153">
        <v>0.0589</v>
      </c>
      <c r="T357" s="101"/>
      <c r="U357" s="189">
        <v>1.3137093333333334</v>
      </c>
      <c r="V357" s="101"/>
      <c r="W357" s="216">
        <f>IFERROR(__xludf.DUMMYFUNCTION("+U357"),1.3137093333333334)</f>
        <v>1.313709333</v>
      </c>
      <c r="X357" s="139"/>
      <c r="Y357" s="99" t="s">
        <v>383</v>
      </c>
      <c r="Z357" s="105"/>
      <c r="AA357" s="105"/>
      <c r="AB357" s="105"/>
      <c r="AC357" s="105"/>
      <c r="AD357" s="105"/>
      <c r="AE357" s="105"/>
    </row>
    <row r="358" ht="14.25" customHeight="1">
      <c r="A358" s="105"/>
      <c r="B358" s="96"/>
      <c r="C358" s="240" t="s">
        <v>384</v>
      </c>
      <c r="D358" s="126"/>
      <c r="E358" s="105"/>
      <c r="F358" s="105"/>
      <c r="G358" s="105"/>
      <c r="H358" s="105"/>
      <c r="I358" s="105"/>
      <c r="J358" s="105"/>
      <c r="K358" s="105"/>
      <c r="L358" s="107"/>
      <c r="M358" s="108"/>
      <c r="N358" s="169"/>
      <c r="O358" s="203"/>
      <c r="P358" s="169"/>
      <c r="Q358" s="203"/>
      <c r="R358" s="163"/>
      <c r="S358" s="163"/>
      <c r="T358" s="101"/>
      <c r="U358" s="188"/>
      <c r="V358" s="101"/>
      <c r="W358" s="216"/>
      <c r="X358" s="139"/>
      <c r="Y358" s="99" t="s">
        <v>385</v>
      </c>
      <c r="Z358" s="105"/>
      <c r="AA358" s="105"/>
      <c r="AB358" s="105"/>
      <c r="AC358" s="105"/>
      <c r="AD358" s="105"/>
      <c r="AE358" s="105"/>
    </row>
    <row r="359" ht="14.25" customHeight="1">
      <c r="B359" s="148" t="s">
        <v>386</v>
      </c>
      <c r="C359" s="183"/>
      <c r="D359" s="77"/>
      <c r="L359" s="61"/>
      <c r="M359" s="62"/>
      <c r="N359" s="64"/>
      <c r="O359" s="68"/>
      <c r="P359" s="64"/>
      <c r="Q359" s="68"/>
      <c r="R359" s="64"/>
      <c r="S359" s="63"/>
      <c r="T359" s="64"/>
      <c r="U359" s="68"/>
      <c r="V359" s="64"/>
      <c r="W359" s="68"/>
      <c r="X359" s="64"/>
      <c r="Y359" s="65"/>
    </row>
    <row r="360" ht="14.25" customHeight="1">
      <c r="B360" s="69">
        <v>7.11</v>
      </c>
      <c r="C360" s="231" t="s">
        <v>387</v>
      </c>
      <c r="D360" s="154"/>
      <c r="L360" s="61"/>
      <c r="M360" s="62"/>
      <c r="N360" s="64"/>
      <c r="O360" s="68"/>
      <c r="P360" s="64"/>
      <c r="Q360" s="68"/>
      <c r="R360" s="114"/>
      <c r="S360" s="92"/>
      <c r="T360" s="92"/>
      <c r="U360" s="145"/>
      <c r="V360" s="114"/>
      <c r="W360" s="145"/>
      <c r="X360" s="92"/>
      <c r="Y360" s="65"/>
    </row>
    <row r="361" ht="14.25" customHeight="1">
      <c r="B361" s="69"/>
      <c r="C361" s="231" t="s">
        <v>388</v>
      </c>
      <c r="D361" s="70"/>
      <c r="L361" s="61"/>
      <c r="M361" s="62"/>
      <c r="N361" s="169"/>
      <c r="O361" s="203"/>
      <c r="P361" s="169"/>
      <c r="Q361" s="203"/>
      <c r="R361" s="114">
        <v>1.0</v>
      </c>
      <c r="S361" s="92">
        <v>0.33124172241024424</v>
      </c>
      <c r="T361" s="92">
        <v>0.7914</v>
      </c>
      <c r="U361" s="145">
        <v>0.8939885181707119</v>
      </c>
      <c r="V361" s="92">
        <v>0.9959</v>
      </c>
      <c r="W361" s="145">
        <f t="shared" ref="W361:W362" si="20">V361</f>
        <v>0.9959</v>
      </c>
      <c r="X361" s="92">
        <f>IFERROR(__xludf.DUMMYFUNCTION("+W361-R361"),-0.0040999999999999925)</f>
        <v>-0.0041</v>
      </c>
      <c r="Y361" s="65"/>
    </row>
    <row r="362" ht="14.25" customHeight="1">
      <c r="B362" s="69"/>
      <c r="C362" s="231" t="s">
        <v>389</v>
      </c>
      <c r="D362" s="70"/>
      <c r="L362" s="61"/>
      <c r="M362" s="62"/>
      <c r="N362" s="64"/>
      <c r="O362" s="62"/>
      <c r="P362" s="63"/>
      <c r="Q362" s="62"/>
      <c r="R362" s="114">
        <v>1.0</v>
      </c>
      <c r="S362" s="92">
        <v>0.3701</v>
      </c>
      <c r="T362" s="92">
        <v>0.8986</v>
      </c>
      <c r="U362" s="145">
        <v>0.9233095258867112</v>
      </c>
      <c r="V362" s="92">
        <v>0.9398</v>
      </c>
      <c r="W362" s="145">
        <f t="shared" si="20"/>
        <v>0.9398</v>
      </c>
      <c r="X362" s="92">
        <f>IFERROR(__xludf.DUMMYFUNCTION("+W362-R362"),-0.06020000000000003)</f>
        <v>-0.0602</v>
      </c>
      <c r="Y362" s="65"/>
    </row>
    <row r="363" ht="14.25" hidden="1" customHeight="1">
      <c r="B363" s="69"/>
      <c r="C363" s="231" t="s">
        <v>390</v>
      </c>
      <c r="D363" s="70"/>
      <c r="L363" s="61"/>
      <c r="M363" s="62"/>
      <c r="N363" s="64"/>
      <c r="O363" s="62"/>
      <c r="P363" s="63"/>
      <c r="Q363" s="62"/>
      <c r="R363" s="114">
        <v>1.0</v>
      </c>
      <c r="S363" s="92"/>
      <c r="T363" s="92"/>
      <c r="U363" s="145"/>
      <c r="V363" s="92"/>
      <c r="W363" s="145" t="str">
        <f>T363</f>
        <v/>
      </c>
      <c r="X363" s="92">
        <f>IFERROR(__xludf.DUMMYFUNCTION("+W363-R363"),-1.0)</f>
        <v>-1</v>
      </c>
      <c r="Y363" s="65"/>
    </row>
    <row r="364" ht="14.25" customHeight="1">
      <c r="B364" s="69">
        <v>7.12</v>
      </c>
      <c r="C364" s="231" t="s">
        <v>391</v>
      </c>
      <c r="D364" s="70"/>
      <c r="E364" s="77"/>
      <c r="L364" s="61"/>
      <c r="M364" s="62"/>
      <c r="N364" s="64"/>
      <c r="O364" s="62"/>
      <c r="P364" s="63"/>
      <c r="Q364" s="62"/>
      <c r="R364" s="114"/>
      <c r="S364" s="92"/>
      <c r="T364" s="92"/>
      <c r="U364" s="145"/>
      <c r="V364" s="92"/>
      <c r="W364" s="145"/>
      <c r="X364" s="92"/>
      <c r="Y364" s="65"/>
    </row>
    <row r="365" ht="14.25" customHeight="1">
      <c r="B365" s="69"/>
      <c r="C365" s="231" t="s">
        <v>392</v>
      </c>
      <c r="D365" s="70"/>
      <c r="E365" s="77"/>
      <c r="L365" s="61"/>
      <c r="M365" s="62"/>
      <c r="N365" s="64"/>
      <c r="O365" s="62"/>
      <c r="P365" s="63"/>
      <c r="Q365" s="62"/>
      <c r="R365" s="114">
        <v>1.0</v>
      </c>
      <c r="S365" s="92">
        <v>0.407</v>
      </c>
      <c r="T365" s="92">
        <v>0.7469</v>
      </c>
      <c r="U365" s="145">
        <v>0.7688590157007333</v>
      </c>
      <c r="V365" s="92">
        <v>0.999</v>
      </c>
      <c r="W365" s="145">
        <f>V365</f>
        <v>0.999</v>
      </c>
      <c r="X365" s="92">
        <f>IFERROR(__xludf.DUMMYFUNCTION("+W365-R365"),-0.0010000000000000009)</f>
        <v>-0.001</v>
      </c>
      <c r="Y365" s="65"/>
    </row>
    <row r="366" ht="14.25" customHeight="1">
      <c r="B366" s="69"/>
      <c r="C366" s="231" t="s">
        <v>393</v>
      </c>
      <c r="D366" s="70"/>
      <c r="E366" s="233"/>
      <c r="L366" s="61"/>
      <c r="M366" s="62"/>
      <c r="N366" s="64"/>
      <c r="O366" s="62"/>
      <c r="P366" s="63"/>
      <c r="Q366" s="62"/>
      <c r="R366" s="114"/>
      <c r="S366" s="92"/>
      <c r="T366" s="92"/>
      <c r="U366" s="145"/>
      <c r="V366" s="92"/>
      <c r="W366" s="145"/>
      <c r="X366" s="92"/>
      <c r="Y366" s="65"/>
    </row>
    <row r="367" ht="14.25" customHeight="1">
      <c r="B367" s="69"/>
      <c r="C367" s="231" t="s">
        <v>394</v>
      </c>
      <c r="D367" s="70"/>
      <c r="E367" s="77"/>
      <c r="L367" s="61"/>
      <c r="M367" s="62"/>
      <c r="N367" s="64"/>
      <c r="O367" s="62"/>
      <c r="P367" s="63"/>
      <c r="Q367" s="62"/>
      <c r="R367" s="169">
        <v>1.0</v>
      </c>
      <c r="S367" s="93">
        <v>0.273</v>
      </c>
      <c r="T367" s="94">
        <v>0.6237</v>
      </c>
      <c r="U367" s="92">
        <v>0.553010434705399</v>
      </c>
      <c r="V367" s="92">
        <v>0.967</v>
      </c>
      <c r="W367" s="93">
        <f>IFERROR(__xludf.DUMMYFUNCTION("+V367"),0.967)</f>
        <v>0.967</v>
      </c>
      <c r="X367" s="93">
        <f>IFERROR(__xludf.DUMMYFUNCTION("+W367-R367"),-0.03300000000000003)</f>
        <v>-0.033</v>
      </c>
      <c r="Y367" s="65"/>
    </row>
    <row r="368" ht="14.25" customHeight="1">
      <c r="B368" s="69"/>
      <c r="C368" s="231" t="s">
        <v>395</v>
      </c>
      <c r="D368" s="70"/>
      <c r="E368" s="233"/>
      <c r="L368" s="61"/>
      <c r="M368" s="62"/>
      <c r="N368" s="64"/>
      <c r="O368" s="62"/>
      <c r="P368" s="63"/>
      <c r="Q368" s="62"/>
      <c r="R368" s="169">
        <v>1.0</v>
      </c>
      <c r="S368" s="93"/>
      <c r="T368" s="94"/>
      <c r="U368" s="92"/>
      <c r="V368" s="92"/>
      <c r="W368" s="93" t="str">
        <f>IFERROR(__xludf.DUMMYFUNCTION("+T368"),"")</f>
        <v/>
      </c>
      <c r="X368" s="93">
        <f>IFERROR(__xludf.DUMMYFUNCTION("+W368-R368"),-1.0)</f>
        <v>-1</v>
      </c>
      <c r="Y368" s="65"/>
    </row>
    <row r="369" ht="14.25" customHeight="1">
      <c r="B369" s="69"/>
      <c r="C369" s="231" t="s">
        <v>396</v>
      </c>
      <c r="D369" s="154"/>
      <c r="L369" s="61"/>
      <c r="M369" s="62"/>
      <c r="N369" s="64"/>
      <c r="O369" s="62"/>
      <c r="P369" s="63"/>
      <c r="Q369" s="62"/>
      <c r="R369" s="114"/>
      <c r="S369" s="92"/>
      <c r="T369" s="92"/>
      <c r="U369" s="145"/>
      <c r="V369" s="92"/>
      <c r="W369" s="145"/>
      <c r="X369" s="92"/>
      <c r="Y369" s="65"/>
    </row>
    <row r="370" ht="14.25" customHeight="1">
      <c r="B370" s="69"/>
      <c r="C370" s="231" t="s">
        <v>397</v>
      </c>
      <c r="D370" s="154"/>
      <c r="L370" s="61"/>
      <c r="M370" s="62"/>
      <c r="N370" s="64"/>
      <c r="O370" s="62"/>
      <c r="P370" s="63"/>
      <c r="Q370" s="62"/>
      <c r="R370" s="114">
        <v>1.0</v>
      </c>
      <c r="S370" s="241"/>
      <c r="T370" s="241"/>
      <c r="U370" s="145"/>
      <c r="V370" s="92"/>
      <c r="W370" s="241"/>
      <c r="X370" s="241"/>
      <c r="Y370" s="65"/>
    </row>
    <row r="371" ht="14.25" customHeight="1">
      <c r="B371" s="69"/>
      <c r="C371" s="231" t="s">
        <v>398</v>
      </c>
      <c r="D371" s="70"/>
      <c r="L371" s="61"/>
      <c r="M371" s="62"/>
      <c r="N371" s="63"/>
      <c r="O371" s="62"/>
      <c r="P371" s="63"/>
      <c r="Q371" s="62"/>
      <c r="R371" s="114">
        <v>1.0</v>
      </c>
      <c r="S371" s="92">
        <v>0.1427</v>
      </c>
      <c r="T371" s="92">
        <v>0.7131</v>
      </c>
      <c r="U371" s="145">
        <v>0.8344378701031973</v>
      </c>
      <c r="V371" s="92">
        <v>0.8705</v>
      </c>
      <c r="W371" s="92">
        <f>IFERROR(__xludf.DUMMYFUNCTION("+V371"),0.8705)</f>
        <v>0.8705</v>
      </c>
      <c r="X371" s="92">
        <f>IFERROR(__xludf.DUMMYFUNCTION("+W371-R371"),-0.12949999999999995)</f>
        <v>-0.1295</v>
      </c>
      <c r="Y371" s="65"/>
    </row>
    <row r="372" ht="14.25" customHeight="1">
      <c r="B372" s="69">
        <v>7.13</v>
      </c>
      <c r="C372" s="231" t="s">
        <v>399</v>
      </c>
      <c r="D372" s="144"/>
      <c r="L372" s="61"/>
      <c r="M372" s="62"/>
      <c r="N372" s="63"/>
      <c r="O372" s="62"/>
      <c r="P372" s="63"/>
      <c r="Q372" s="62"/>
      <c r="R372" s="114">
        <v>1.0</v>
      </c>
      <c r="S372" s="92">
        <v>0.8723</v>
      </c>
      <c r="T372" s="92">
        <v>1.0</v>
      </c>
      <c r="U372" s="145">
        <v>1.0</v>
      </c>
      <c r="V372" s="92">
        <v>1.0</v>
      </c>
      <c r="W372" s="145">
        <f t="shared" ref="W372:W373" si="21">V372</f>
        <v>1</v>
      </c>
      <c r="X372" s="92">
        <f>IFERROR(__xludf.DUMMYFUNCTION("+W372-R372"),0.0)</f>
        <v>0</v>
      </c>
      <c r="Y372" s="65"/>
    </row>
    <row r="373" ht="14.25" customHeight="1">
      <c r="B373" s="69">
        <v>7.14</v>
      </c>
      <c r="C373" s="231" t="s">
        <v>400</v>
      </c>
      <c r="D373" s="70"/>
      <c r="L373" s="61"/>
      <c r="M373" s="62"/>
      <c r="N373" s="64"/>
      <c r="O373" s="62"/>
      <c r="P373" s="63"/>
      <c r="Q373" s="62"/>
      <c r="R373" s="114">
        <v>1.0</v>
      </c>
      <c r="S373" s="92">
        <v>0.9776</v>
      </c>
      <c r="T373" s="92">
        <v>0.9776</v>
      </c>
      <c r="U373" s="145">
        <v>0.9776264065233649</v>
      </c>
      <c r="V373" s="92">
        <v>0.9776</v>
      </c>
      <c r="W373" s="145">
        <f t="shared" si="21"/>
        <v>0.9776</v>
      </c>
      <c r="X373" s="92">
        <f>IFERROR(__xludf.DUMMYFUNCTION("+W373-R373"),-0.022399999999999975)</f>
        <v>-0.0224</v>
      </c>
      <c r="Y373" s="65"/>
    </row>
    <row r="374" ht="14.25" customHeight="1">
      <c r="B374" s="148" t="s">
        <v>401</v>
      </c>
      <c r="C374" s="183"/>
      <c r="D374" s="70"/>
      <c r="L374" s="61"/>
      <c r="M374" s="62"/>
      <c r="N374" s="64"/>
      <c r="O374" s="62"/>
      <c r="P374" s="63"/>
      <c r="Q374" s="62"/>
      <c r="R374" s="63"/>
      <c r="S374" s="64"/>
      <c r="T374" s="64"/>
      <c r="U374" s="68"/>
      <c r="V374" s="92"/>
      <c r="W374" s="68"/>
      <c r="X374" s="64"/>
      <c r="Y374" s="65"/>
    </row>
    <row r="375" ht="14.25" customHeight="1">
      <c r="B375" s="69">
        <v>7.15</v>
      </c>
      <c r="C375" s="231" t="s">
        <v>402</v>
      </c>
      <c r="D375" s="70"/>
      <c r="L375" s="61"/>
      <c r="M375" s="62"/>
      <c r="N375" s="64"/>
      <c r="O375" s="62"/>
      <c r="P375" s="63"/>
      <c r="Q375" s="62"/>
      <c r="R375" s="114">
        <v>0.85</v>
      </c>
      <c r="S375" s="92">
        <v>0.3433</v>
      </c>
      <c r="T375" s="92">
        <v>0.5902</v>
      </c>
      <c r="U375" s="145">
        <v>0.6024096385542169</v>
      </c>
      <c r="V375" s="92">
        <v>0.7628</v>
      </c>
      <c r="W375" s="145" t="s">
        <v>403</v>
      </c>
      <c r="X375" s="242" t="str">
        <f>IFERROR(__xludf.DUMMYFUNCTION("+W375-R375"),"#VALUE!")</f>
        <v>#VALUE!</v>
      </c>
      <c r="Y375" s="65"/>
    </row>
    <row r="376" ht="14.25" customHeight="1">
      <c r="B376" s="69">
        <v>7.16</v>
      </c>
      <c r="C376" s="231" t="s">
        <v>404</v>
      </c>
      <c r="D376" s="70"/>
      <c r="L376" s="61"/>
      <c r="M376" s="62"/>
      <c r="N376" s="64"/>
      <c r="O376" s="62"/>
      <c r="P376" s="63"/>
      <c r="Q376" s="62"/>
      <c r="R376" s="114">
        <v>1.0</v>
      </c>
      <c r="S376" s="92">
        <v>1.0</v>
      </c>
      <c r="T376" s="92">
        <v>1.0</v>
      </c>
      <c r="U376" s="145">
        <v>1.0</v>
      </c>
      <c r="V376" s="92">
        <v>1.0</v>
      </c>
      <c r="W376" s="145">
        <f>S376</f>
        <v>1</v>
      </c>
      <c r="X376" s="242">
        <f>IFERROR(__xludf.DUMMYFUNCTION("+W376-R376"),0.0)</f>
        <v>0</v>
      </c>
      <c r="Y376" s="65"/>
    </row>
    <row r="377" ht="15.75" customHeight="1">
      <c r="B377" s="243"/>
      <c r="C377" s="244"/>
      <c r="D377" s="245"/>
      <c r="E377" s="246"/>
      <c r="F377" s="247"/>
      <c r="G377" s="247"/>
      <c r="H377" s="244"/>
      <c r="I377" s="244"/>
      <c r="J377" s="244"/>
      <c r="K377" s="244"/>
      <c r="L377" s="248"/>
      <c r="M377" s="249"/>
      <c r="N377" s="250"/>
      <c r="O377" s="251"/>
      <c r="P377" s="250"/>
      <c r="Q377" s="251"/>
      <c r="R377" s="250"/>
      <c r="S377" s="251"/>
      <c r="T377" s="250"/>
      <c r="U377" s="251"/>
      <c r="V377" s="252"/>
      <c r="W377" s="251"/>
      <c r="X377" s="250"/>
      <c r="Y377" s="253"/>
    </row>
    <row r="378" ht="14.25" customHeight="1">
      <c r="N378" s="206"/>
      <c r="O378" s="206"/>
      <c r="P378" s="206"/>
      <c r="Q378" s="206"/>
      <c r="R378" s="206"/>
      <c r="S378" s="206"/>
      <c r="T378" s="206"/>
      <c r="U378" s="206"/>
      <c r="V378" s="206"/>
      <c r="W378" s="206"/>
      <c r="X378" s="206"/>
    </row>
    <row r="379" ht="14.25" customHeight="1">
      <c r="N379" s="206"/>
      <c r="O379" s="206"/>
      <c r="P379" s="206"/>
      <c r="Q379" s="206"/>
      <c r="R379" s="206"/>
      <c r="S379" s="206"/>
      <c r="T379" s="206"/>
      <c r="U379" s="206"/>
      <c r="V379" s="206"/>
      <c r="W379" s="206"/>
      <c r="X379" s="206"/>
    </row>
    <row r="380" ht="14.25" customHeight="1">
      <c r="S380" s="206"/>
      <c r="T380" s="206"/>
      <c r="U380" s="206"/>
      <c r="V380" s="206"/>
      <c r="W380" s="206"/>
      <c r="X380" s="206"/>
    </row>
    <row r="381" ht="14.25" customHeight="1">
      <c r="B381" s="254" t="s">
        <v>405</v>
      </c>
      <c r="C381" s="254"/>
      <c r="D381" s="254"/>
      <c r="E381" s="254"/>
      <c r="F381" s="254"/>
      <c r="G381" s="254"/>
      <c r="H381" s="254"/>
      <c r="I381" s="254"/>
      <c r="J381" s="254"/>
      <c r="K381" s="254"/>
      <c r="L381" s="254"/>
      <c r="M381" s="254" t="s">
        <v>406</v>
      </c>
      <c r="N381" s="254"/>
      <c r="O381" s="254"/>
      <c r="P381" s="254"/>
      <c r="Q381" s="254"/>
      <c r="R381" s="254"/>
      <c r="S381" s="255"/>
      <c r="T381" s="255"/>
      <c r="U381" s="255"/>
      <c r="V381" s="255" t="s">
        <v>407</v>
      </c>
      <c r="W381" s="255"/>
      <c r="X381" s="256"/>
    </row>
    <row r="382" ht="14.25" customHeight="1">
      <c r="B382" s="254"/>
      <c r="C382" s="254"/>
      <c r="D382" s="254"/>
      <c r="E382" s="254"/>
      <c r="F382" s="254"/>
      <c r="G382" s="254"/>
      <c r="H382" s="254"/>
      <c r="I382" s="254"/>
      <c r="J382" s="254"/>
      <c r="K382" s="254"/>
      <c r="L382" s="254"/>
      <c r="M382" s="254"/>
      <c r="N382" s="254"/>
      <c r="O382" s="254"/>
      <c r="P382" s="254"/>
      <c r="Q382" s="254"/>
      <c r="R382" s="254"/>
      <c r="S382" s="255"/>
      <c r="T382" s="255"/>
      <c r="U382" s="255"/>
      <c r="V382" s="255"/>
      <c r="W382" s="255"/>
      <c r="X382" s="256"/>
    </row>
    <row r="383" ht="14.25" customHeight="1">
      <c r="B383" s="254"/>
      <c r="C383" s="254"/>
      <c r="D383" s="254"/>
      <c r="E383" s="254"/>
      <c r="F383" s="254"/>
      <c r="G383" s="254"/>
      <c r="H383" s="254"/>
      <c r="I383" s="254"/>
      <c r="J383" s="254"/>
      <c r="K383" s="254"/>
      <c r="L383" s="254"/>
      <c r="M383" s="254"/>
      <c r="N383" s="254"/>
      <c r="O383" s="254"/>
      <c r="P383" s="254"/>
      <c r="Q383" s="254"/>
      <c r="R383" s="254"/>
      <c r="S383" s="255"/>
      <c r="T383" s="255"/>
      <c r="U383" s="255"/>
      <c r="V383" s="255"/>
      <c r="W383" s="255"/>
      <c r="X383" s="256"/>
    </row>
    <row r="384" ht="14.25" customHeight="1">
      <c r="B384" s="254"/>
      <c r="C384" s="254"/>
      <c r="D384" s="254"/>
      <c r="E384" s="254"/>
      <c r="F384" s="254"/>
      <c r="G384" s="254"/>
      <c r="H384" s="254"/>
      <c r="I384" s="254"/>
      <c r="J384" s="254"/>
      <c r="K384" s="254"/>
      <c r="L384" s="254"/>
      <c r="M384" s="254"/>
      <c r="N384" s="254"/>
      <c r="O384" s="254"/>
      <c r="P384" s="254"/>
      <c r="Q384" s="254"/>
      <c r="R384" s="254"/>
      <c r="S384" s="255"/>
      <c r="T384" s="255"/>
      <c r="U384" s="255"/>
      <c r="V384" s="255"/>
      <c r="W384" s="255"/>
      <c r="X384" s="256"/>
    </row>
    <row r="385" ht="14.25" customHeight="1">
      <c r="B385" s="254"/>
      <c r="C385" s="254"/>
      <c r="D385" s="254"/>
      <c r="E385" s="254"/>
      <c r="F385" s="254"/>
      <c r="G385" s="254"/>
      <c r="H385" s="254"/>
      <c r="I385" s="254"/>
      <c r="J385" s="254"/>
      <c r="K385" s="254"/>
      <c r="L385" s="254"/>
      <c r="M385" s="254"/>
      <c r="N385" s="254"/>
      <c r="O385" s="254"/>
      <c r="P385" s="254"/>
      <c r="Q385" s="254"/>
      <c r="R385" s="254"/>
      <c r="S385" s="255"/>
      <c r="T385" s="255"/>
      <c r="U385" s="255"/>
      <c r="V385" s="255"/>
      <c r="W385" s="255"/>
      <c r="X385" s="256"/>
    </row>
    <row r="386" ht="14.25" customHeight="1">
      <c r="B386" s="257" t="s">
        <v>408</v>
      </c>
      <c r="C386" s="254"/>
      <c r="D386" s="254"/>
      <c r="E386" s="254"/>
      <c r="F386" s="254"/>
      <c r="G386" s="254"/>
      <c r="H386" s="254"/>
      <c r="I386" s="254"/>
      <c r="J386" s="254"/>
      <c r="K386" s="254"/>
      <c r="L386" s="254"/>
      <c r="M386" s="257" t="s">
        <v>409</v>
      </c>
      <c r="N386" s="254"/>
      <c r="O386" s="254"/>
      <c r="P386" s="254"/>
      <c r="Q386" s="254"/>
      <c r="R386" s="254"/>
      <c r="S386" s="255"/>
      <c r="T386" s="255"/>
      <c r="U386" s="255"/>
      <c r="V386" s="258" t="s">
        <v>410</v>
      </c>
      <c r="W386" s="255"/>
      <c r="X386" s="256"/>
    </row>
    <row r="387" ht="14.25" customHeight="1">
      <c r="B387" s="254" t="s">
        <v>411</v>
      </c>
      <c r="C387" s="254"/>
      <c r="D387" s="254"/>
      <c r="E387" s="254"/>
      <c r="F387" s="254"/>
      <c r="G387" s="254"/>
      <c r="H387" s="254"/>
      <c r="I387" s="254"/>
      <c r="J387" s="254"/>
      <c r="K387" s="254"/>
      <c r="L387" s="254"/>
      <c r="M387" s="254" t="s">
        <v>412</v>
      </c>
      <c r="N387" s="254"/>
      <c r="O387" s="254"/>
      <c r="P387" s="254"/>
      <c r="Q387" s="254"/>
      <c r="R387" s="254"/>
      <c r="S387" s="255"/>
      <c r="T387" s="255"/>
      <c r="U387" s="255"/>
      <c r="V387" s="259" t="s">
        <v>413</v>
      </c>
      <c r="W387" s="255"/>
      <c r="X387" s="256"/>
    </row>
    <row r="388" ht="14.25" customHeight="1">
      <c r="B388" s="260"/>
      <c r="C388" s="260"/>
      <c r="D388" s="260"/>
      <c r="E388" s="260"/>
      <c r="F388" s="260"/>
      <c r="G388" s="260"/>
      <c r="H388" s="260"/>
      <c r="I388" s="260"/>
      <c r="J388" s="260"/>
      <c r="K388" s="260"/>
      <c r="L388" s="260"/>
      <c r="M388" s="260"/>
      <c r="N388" s="260"/>
      <c r="O388" s="260"/>
      <c r="P388" s="260"/>
      <c r="Q388" s="260"/>
      <c r="R388" s="260"/>
      <c r="S388" s="261"/>
      <c r="T388" s="261"/>
      <c r="U388" s="261"/>
      <c r="V388" s="261"/>
      <c r="W388" s="261"/>
      <c r="X388" s="256"/>
    </row>
    <row r="389" ht="14.25" customHeight="1">
      <c r="B389" s="260"/>
      <c r="C389" s="260"/>
      <c r="D389" s="260"/>
      <c r="E389" s="260"/>
      <c r="F389" s="260"/>
      <c r="G389" s="260"/>
      <c r="H389" s="260"/>
      <c r="I389" s="260"/>
      <c r="J389" s="260"/>
      <c r="K389" s="260"/>
      <c r="L389" s="260"/>
      <c r="M389" s="260"/>
      <c r="N389" s="260"/>
      <c r="O389" s="260"/>
      <c r="P389" s="260"/>
      <c r="Q389" s="260"/>
      <c r="R389" s="260"/>
      <c r="S389" s="261"/>
      <c r="T389" s="261"/>
      <c r="U389" s="261"/>
      <c r="V389" s="261"/>
      <c r="W389" s="261"/>
      <c r="X389" s="256"/>
    </row>
    <row r="390" ht="14.25" customHeight="1">
      <c r="B390" s="262"/>
      <c r="C390" s="262"/>
      <c r="D390" s="262"/>
      <c r="E390" s="262"/>
      <c r="F390" s="262"/>
      <c r="G390" s="262"/>
      <c r="H390" s="262"/>
      <c r="I390" s="262"/>
      <c r="J390" s="262"/>
      <c r="K390" s="262"/>
      <c r="L390" s="262"/>
      <c r="M390" s="262"/>
      <c r="N390" s="262"/>
      <c r="O390" s="262"/>
      <c r="P390" s="262"/>
      <c r="Q390" s="262"/>
      <c r="R390" s="262"/>
      <c r="S390" s="263"/>
      <c r="T390" s="263"/>
      <c r="U390" s="263"/>
      <c r="V390" s="263"/>
      <c r="W390" s="263"/>
      <c r="X390" s="256"/>
    </row>
    <row r="391" ht="14.25" customHeight="1">
      <c r="B391" s="262"/>
      <c r="C391" s="262"/>
      <c r="D391" s="262"/>
      <c r="E391" s="262"/>
      <c r="F391" s="262"/>
      <c r="G391" s="262"/>
      <c r="H391" s="262"/>
      <c r="I391" s="262"/>
      <c r="J391" s="262"/>
      <c r="K391" s="262"/>
      <c r="L391" s="262"/>
      <c r="M391" s="262"/>
      <c r="N391" s="262"/>
      <c r="O391" s="262"/>
      <c r="P391" s="262"/>
      <c r="Q391" s="262"/>
      <c r="R391" s="262"/>
      <c r="S391" s="263"/>
      <c r="T391" s="263"/>
      <c r="U391" s="263"/>
      <c r="V391" s="263"/>
      <c r="W391" s="263"/>
      <c r="X391" s="206"/>
    </row>
    <row r="392" ht="14.25" customHeight="1">
      <c r="S392" s="206"/>
      <c r="T392" s="206"/>
      <c r="U392" s="206"/>
      <c r="V392" s="206"/>
      <c r="W392" s="206"/>
      <c r="X392" s="206"/>
    </row>
    <row r="393" ht="14.25" customHeight="1">
      <c r="S393" s="206"/>
      <c r="T393" s="206"/>
      <c r="U393" s="206"/>
      <c r="V393" s="206"/>
      <c r="W393" s="206"/>
      <c r="X393" s="206"/>
    </row>
    <row r="394" ht="14.25" customHeight="1">
      <c r="S394" s="206"/>
      <c r="T394" s="206"/>
      <c r="U394" s="206"/>
      <c r="V394" s="206"/>
      <c r="W394" s="206"/>
      <c r="X394" s="206"/>
    </row>
    <row r="395" ht="14.25" customHeight="1">
      <c r="S395" s="206"/>
      <c r="T395" s="206"/>
      <c r="U395" s="206"/>
      <c r="V395" s="206"/>
      <c r="W395" s="206"/>
      <c r="X395" s="206"/>
    </row>
    <row r="396" ht="14.25" customHeight="1">
      <c r="S396" s="206"/>
      <c r="T396" s="206"/>
      <c r="U396" s="206"/>
      <c r="V396" s="206"/>
      <c r="W396" s="206"/>
      <c r="X396" s="206"/>
    </row>
    <row r="397" ht="14.25" customHeight="1">
      <c r="S397" s="206"/>
      <c r="T397" s="206"/>
      <c r="U397" s="206"/>
      <c r="V397" s="206"/>
      <c r="W397" s="206"/>
      <c r="X397" s="206"/>
    </row>
    <row r="398" ht="14.25" customHeight="1">
      <c r="S398" s="206"/>
      <c r="T398" s="206"/>
      <c r="U398" s="206"/>
      <c r="V398" s="206"/>
      <c r="W398" s="206"/>
      <c r="X398" s="206"/>
    </row>
    <row r="399" ht="14.25" customHeight="1">
      <c r="S399" s="206"/>
      <c r="T399" s="206"/>
      <c r="U399" s="206"/>
      <c r="V399" s="206"/>
      <c r="W399" s="206"/>
      <c r="X399" s="206"/>
    </row>
    <row r="400" ht="14.25" customHeight="1">
      <c r="S400" s="206"/>
      <c r="T400" s="206"/>
      <c r="U400" s="206"/>
      <c r="V400" s="206"/>
      <c r="W400" s="206"/>
      <c r="X400" s="206"/>
    </row>
    <row r="401" ht="14.25" customHeight="1">
      <c r="S401" s="206"/>
      <c r="T401" s="206"/>
      <c r="U401" s="206"/>
      <c r="V401" s="206"/>
      <c r="W401" s="206"/>
      <c r="X401" s="206"/>
    </row>
    <row r="402" ht="14.25" customHeight="1">
      <c r="S402" s="206"/>
      <c r="T402" s="206"/>
      <c r="U402" s="206"/>
      <c r="V402" s="206"/>
      <c r="W402" s="206"/>
      <c r="X402" s="206"/>
    </row>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7">
    <mergeCell ref="T12:T14"/>
    <mergeCell ref="U12:U14"/>
    <mergeCell ref="Y262:Y276"/>
    <mergeCell ref="Y285:Y286"/>
    <mergeCell ref="N299:R308"/>
    <mergeCell ref="V12:V14"/>
    <mergeCell ref="W12:W14"/>
    <mergeCell ref="Y21:Y27"/>
    <mergeCell ref="Y32:Y33"/>
    <mergeCell ref="Y38:Y50"/>
    <mergeCell ref="Y52:Y54"/>
    <mergeCell ref="Y101:Y103"/>
    <mergeCell ref="X1:Y1"/>
    <mergeCell ref="A2:Y2"/>
    <mergeCell ref="A3:Y3"/>
    <mergeCell ref="I5:M5"/>
    <mergeCell ref="I6:M6"/>
    <mergeCell ref="I7:M7"/>
    <mergeCell ref="I8:M8"/>
    <mergeCell ref="N12:N14"/>
    <mergeCell ref="O12:O14"/>
    <mergeCell ref="P12:P14"/>
    <mergeCell ref="Q12:Q14"/>
    <mergeCell ref="N103:Q103"/>
    <mergeCell ref="R12:R14"/>
    <mergeCell ref="S12:S14"/>
    <mergeCell ref="B15:L15"/>
    <mergeCell ref="B16:L16"/>
    <mergeCell ref="B9:E9"/>
    <mergeCell ref="B10:L14"/>
    <mergeCell ref="M10:M14"/>
    <mergeCell ref="N10:R11"/>
    <mergeCell ref="S10:W11"/>
    <mergeCell ref="X10:X14"/>
    <mergeCell ref="Y10:Y14"/>
    <mergeCell ref="Y146:Y149"/>
    <mergeCell ref="Y164:Y167"/>
  </mergeCells>
  <printOptions horizontalCentered="1"/>
  <pageMargins bottom="0.75" footer="0.0" header="0.0" left="0.25" right="0.25" top="0.75"/>
  <pageSetup fitToHeight="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xSplit="2.0" ySplit="15.0" topLeftCell="C16" activePane="bottomRight" state="frozen"/>
      <selection activeCell="C1" sqref="C1" pane="topRight"/>
      <selection activeCell="A16" sqref="A16" pane="bottomLeft"/>
      <selection activeCell="C16" sqref="C16" pane="bottomRight"/>
    </sheetView>
  </sheetViews>
  <sheetFormatPr customHeight="1" defaultColWidth="14.43" defaultRowHeight="15.0"/>
  <cols>
    <col customWidth="1" hidden="1" min="1" max="1" width="9.14"/>
    <col customWidth="1" min="2" max="2" width="12.0"/>
    <col customWidth="1" min="3" max="3" width="94.57"/>
    <col customWidth="1" min="4" max="4" width="9.14"/>
    <col customWidth="1" min="5" max="5" width="14.71"/>
    <col customWidth="1" min="6" max="6" width="14.29"/>
    <col customWidth="1" min="7" max="7" width="15.0"/>
    <col customWidth="1" min="8" max="8" width="14.71"/>
    <col customWidth="1" min="9" max="9" width="18.86"/>
    <col customWidth="1" min="10" max="10" width="15.14"/>
    <col customWidth="1" min="11" max="11" width="15.43"/>
    <col customWidth="1" min="12" max="12" width="16.29"/>
    <col customWidth="1" min="13" max="13" width="14.43"/>
    <col customWidth="1" min="14" max="14" width="20.57"/>
    <col customWidth="1" min="15" max="15" width="16.71"/>
    <col customWidth="1" min="16" max="16" width="42.57"/>
    <col customWidth="1" min="17" max="26" width="9.14"/>
  </cols>
  <sheetData>
    <row r="1" ht="14.25" customHeight="1">
      <c r="A1" s="1"/>
      <c r="B1" s="1"/>
      <c r="C1" s="1"/>
      <c r="D1" s="1"/>
      <c r="E1" s="1"/>
      <c r="F1" s="1"/>
      <c r="G1" s="1"/>
      <c r="H1" s="1"/>
      <c r="I1" s="1"/>
      <c r="J1" s="1"/>
      <c r="K1" s="1"/>
      <c r="L1" s="1"/>
      <c r="M1" s="1"/>
      <c r="N1" s="1"/>
      <c r="O1" s="2" t="s">
        <v>0</v>
      </c>
      <c r="P1" s="3"/>
    </row>
    <row r="2" ht="14.25" customHeight="1">
      <c r="A2" s="4" t="s">
        <v>1</v>
      </c>
      <c r="B2" s="5"/>
      <c r="C2" s="5"/>
      <c r="D2" s="5"/>
      <c r="E2" s="5"/>
      <c r="F2" s="5"/>
      <c r="G2" s="5"/>
      <c r="H2" s="5"/>
      <c r="I2" s="5"/>
      <c r="J2" s="5"/>
      <c r="K2" s="5"/>
      <c r="L2" s="5"/>
      <c r="M2" s="5"/>
      <c r="N2" s="5"/>
      <c r="O2" s="5"/>
      <c r="P2" s="3"/>
    </row>
    <row r="3" ht="14.25" customHeight="1">
      <c r="A3" s="264" t="s">
        <v>414</v>
      </c>
      <c r="B3" s="5"/>
      <c r="C3" s="5"/>
      <c r="D3" s="5"/>
      <c r="E3" s="5"/>
      <c r="F3" s="5"/>
      <c r="G3" s="5"/>
      <c r="H3" s="5"/>
      <c r="I3" s="5"/>
      <c r="J3" s="5"/>
      <c r="K3" s="5"/>
      <c r="L3" s="5"/>
      <c r="M3" s="5"/>
      <c r="N3" s="5"/>
      <c r="O3" s="5"/>
      <c r="P3" s="3"/>
    </row>
    <row r="4" ht="14.25" customHeight="1">
      <c r="A4" s="7"/>
      <c r="B4" s="7"/>
      <c r="C4" s="7"/>
      <c r="D4" s="7"/>
      <c r="E4" s="7"/>
      <c r="F4" s="7"/>
      <c r="G4" s="7"/>
      <c r="H4" s="7"/>
      <c r="I4" s="7"/>
      <c r="J4" s="7"/>
      <c r="K4" s="7"/>
      <c r="L4" s="7"/>
      <c r="M4" s="7"/>
      <c r="N4" s="7"/>
      <c r="O4" s="7"/>
      <c r="P4" s="8"/>
    </row>
    <row r="5" ht="14.25" customHeight="1">
      <c r="A5" s="1"/>
      <c r="B5" s="9" t="s">
        <v>3</v>
      </c>
      <c r="C5" s="9"/>
      <c r="D5" s="265"/>
      <c r="E5" s="13"/>
      <c r="F5" s="13"/>
      <c r="G5" s="13"/>
      <c r="H5" s="13"/>
      <c r="I5" s="13"/>
      <c r="J5" s="13"/>
      <c r="K5" s="13"/>
      <c r="L5" s="14"/>
      <c r="M5" s="14"/>
      <c r="N5" s="15"/>
      <c r="O5" s="16" t="s">
        <v>6</v>
      </c>
      <c r="P5" s="17"/>
    </row>
    <row r="6" ht="14.25" customHeight="1">
      <c r="A6" s="1"/>
      <c r="B6" s="9" t="s">
        <v>7</v>
      </c>
      <c r="C6" s="9"/>
      <c r="D6" s="265"/>
      <c r="E6" s="13"/>
      <c r="F6" s="13"/>
      <c r="G6" s="13"/>
      <c r="H6" s="13"/>
      <c r="I6" s="13"/>
      <c r="J6" s="13"/>
      <c r="K6" s="13"/>
      <c r="L6" s="14"/>
      <c r="M6" s="14"/>
      <c r="N6" s="18"/>
      <c r="O6" s="16" t="s">
        <v>8</v>
      </c>
      <c r="P6" s="17"/>
    </row>
    <row r="7" ht="14.25" customHeight="1">
      <c r="A7" s="1"/>
      <c r="B7" s="9" t="s">
        <v>9</v>
      </c>
      <c r="C7" s="9"/>
      <c r="D7" s="265"/>
      <c r="E7" s="13"/>
      <c r="F7" s="13"/>
      <c r="G7" s="13"/>
      <c r="H7" s="13"/>
      <c r="I7" s="13"/>
      <c r="J7" s="14"/>
      <c r="K7" s="14"/>
      <c r="L7" s="14"/>
      <c r="M7" s="1"/>
      <c r="N7" s="18"/>
      <c r="O7" s="16" t="s">
        <v>10</v>
      </c>
      <c r="P7" s="17"/>
    </row>
    <row r="8" ht="14.25" customHeight="1">
      <c r="A8" s="1"/>
      <c r="B8" s="9" t="s">
        <v>11</v>
      </c>
      <c r="C8" s="9"/>
      <c r="D8" s="265"/>
      <c r="E8" s="13"/>
      <c r="F8" s="13"/>
      <c r="G8" s="13"/>
      <c r="H8" s="13"/>
      <c r="I8" s="13"/>
      <c r="J8" s="14"/>
      <c r="K8" s="14"/>
      <c r="L8" s="14"/>
      <c r="M8" s="1"/>
      <c r="N8" s="18"/>
      <c r="O8" s="16" t="s">
        <v>12</v>
      </c>
      <c r="P8" s="17"/>
    </row>
    <row r="9" ht="14.25" customHeight="1">
      <c r="A9" s="1"/>
      <c r="B9" s="19"/>
      <c r="C9" s="3"/>
      <c r="D9" s="1"/>
      <c r="E9" s="1"/>
      <c r="F9" s="1"/>
      <c r="G9" s="1"/>
      <c r="H9" s="1"/>
      <c r="I9" s="1"/>
      <c r="J9" s="1"/>
      <c r="K9" s="1"/>
      <c r="L9" s="14"/>
      <c r="M9" s="1"/>
      <c r="N9" s="14"/>
      <c r="O9" s="1"/>
      <c r="P9" s="1"/>
    </row>
    <row r="10" ht="15.75" customHeight="1">
      <c r="A10" s="1"/>
      <c r="B10" s="20" t="s">
        <v>13</v>
      </c>
      <c r="C10" s="266"/>
      <c r="D10" s="23" t="s">
        <v>14</v>
      </c>
      <c r="E10" s="20" t="s">
        <v>15</v>
      </c>
      <c r="F10" s="21"/>
      <c r="G10" s="21"/>
      <c r="H10" s="21"/>
      <c r="I10" s="22"/>
      <c r="J10" s="24" t="s">
        <v>16</v>
      </c>
      <c r="K10" s="21"/>
      <c r="L10" s="21"/>
      <c r="M10" s="21"/>
      <c r="N10" s="25"/>
      <c r="O10" s="267" t="s">
        <v>415</v>
      </c>
      <c r="P10" s="27" t="s">
        <v>18</v>
      </c>
    </row>
    <row r="11" ht="14.25" customHeight="1">
      <c r="A11" s="1"/>
      <c r="B11" s="28"/>
      <c r="C11" s="268"/>
      <c r="D11" s="30"/>
      <c r="E11" s="31"/>
      <c r="F11" s="32"/>
      <c r="G11" s="32"/>
      <c r="H11" s="32"/>
      <c r="I11" s="33"/>
      <c r="J11" s="34"/>
      <c r="K11" s="35"/>
      <c r="L11" s="35"/>
      <c r="M11" s="35"/>
      <c r="N11" s="36"/>
      <c r="O11" s="37"/>
      <c r="P11" s="38"/>
    </row>
    <row r="12" ht="15.75" customHeight="1">
      <c r="A12" s="1"/>
      <c r="B12" s="28"/>
      <c r="C12" s="268"/>
      <c r="D12" s="30"/>
      <c r="E12" s="39" t="s">
        <v>19</v>
      </c>
      <c r="F12" s="23" t="s">
        <v>20</v>
      </c>
      <c r="G12" s="39" t="s">
        <v>21</v>
      </c>
      <c r="H12" s="23" t="s">
        <v>22</v>
      </c>
      <c r="I12" s="39" t="s">
        <v>23</v>
      </c>
      <c r="J12" s="23" t="s">
        <v>19</v>
      </c>
      <c r="K12" s="39" t="s">
        <v>20</v>
      </c>
      <c r="L12" s="23" t="s">
        <v>21</v>
      </c>
      <c r="M12" s="39" t="s">
        <v>22</v>
      </c>
      <c r="N12" s="23" t="s">
        <v>23</v>
      </c>
      <c r="O12" s="37"/>
      <c r="P12" s="38"/>
    </row>
    <row r="13" ht="14.25" customHeight="1">
      <c r="A13" s="1"/>
      <c r="B13" s="28"/>
      <c r="C13" s="268"/>
      <c r="D13" s="30"/>
      <c r="E13" s="40"/>
      <c r="F13" s="30"/>
      <c r="G13" s="40"/>
      <c r="H13" s="30"/>
      <c r="I13" s="40"/>
      <c r="J13" s="30"/>
      <c r="K13" s="40"/>
      <c r="L13" s="30"/>
      <c r="M13" s="40"/>
      <c r="N13" s="30"/>
      <c r="O13" s="37"/>
      <c r="P13" s="38"/>
    </row>
    <row r="14" ht="14.25" customHeight="1">
      <c r="A14" s="1"/>
      <c r="B14" s="31"/>
      <c r="C14" s="269"/>
      <c r="D14" s="41"/>
      <c r="E14" s="42"/>
      <c r="F14" s="41"/>
      <c r="G14" s="42"/>
      <c r="H14" s="41"/>
      <c r="I14" s="42"/>
      <c r="J14" s="41"/>
      <c r="K14" s="42"/>
      <c r="L14" s="41"/>
      <c r="M14" s="42"/>
      <c r="N14" s="41"/>
      <c r="O14" s="43"/>
      <c r="P14" s="44"/>
    </row>
    <row r="15" ht="14.25" customHeight="1">
      <c r="A15" s="1"/>
      <c r="B15" s="45">
        <v>1.0</v>
      </c>
      <c r="C15" s="270"/>
      <c r="D15" s="47">
        <v>2.0</v>
      </c>
      <c r="E15" s="48">
        <v>3.0</v>
      </c>
      <c r="F15" s="47">
        <v>4.0</v>
      </c>
      <c r="G15" s="49">
        <v>5.0</v>
      </c>
      <c r="H15" s="50">
        <v>6.0</v>
      </c>
      <c r="I15" s="51" t="s">
        <v>24</v>
      </c>
      <c r="J15" s="52">
        <v>8.0</v>
      </c>
      <c r="K15" s="51">
        <v>9.0</v>
      </c>
      <c r="L15" s="52">
        <v>10.0</v>
      </c>
      <c r="M15" s="51">
        <v>11.0</v>
      </c>
      <c r="N15" s="52" t="s">
        <v>25</v>
      </c>
      <c r="O15" s="53">
        <v>13.0</v>
      </c>
      <c r="P15" s="54">
        <v>14.0</v>
      </c>
    </row>
    <row r="16" ht="14.25" customHeight="1">
      <c r="B16" s="55"/>
      <c r="D16" s="56"/>
      <c r="E16" s="271"/>
      <c r="F16" s="272"/>
      <c r="G16" s="271"/>
      <c r="H16" s="272"/>
      <c r="I16" s="271"/>
      <c r="J16" s="272"/>
      <c r="K16" s="57"/>
      <c r="L16" s="272"/>
      <c r="M16" s="271"/>
      <c r="N16" s="272"/>
      <c r="O16" s="273"/>
      <c r="P16" s="274"/>
    </row>
    <row r="17" ht="14.25" customHeight="1">
      <c r="B17" s="60" t="s">
        <v>26</v>
      </c>
      <c r="D17" s="62"/>
      <c r="E17" s="275"/>
      <c r="F17" s="276"/>
      <c r="G17" s="275"/>
      <c r="H17" s="276"/>
      <c r="I17" s="275"/>
      <c r="J17" s="276"/>
      <c r="K17" s="63"/>
      <c r="L17" s="276"/>
      <c r="M17" s="275"/>
      <c r="N17" s="62"/>
      <c r="O17" s="64"/>
      <c r="P17" s="277"/>
    </row>
    <row r="18" ht="14.25" customHeight="1">
      <c r="B18" s="66" t="s">
        <v>27</v>
      </c>
      <c r="C18" s="67"/>
      <c r="D18" s="62"/>
      <c r="E18" s="278"/>
      <c r="F18" s="279"/>
      <c r="G18" s="278"/>
      <c r="H18" s="279"/>
      <c r="I18" s="278"/>
      <c r="J18" s="279"/>
      <c r="K18" s="64"/>
      <c r="L18" s="279"/>
      <c r="M18" s="278"/>
      <c r="N18" s="68"/>
      <c r="O18" s="64"/>
      <c r="P18" s="277"/>
    </row>
    <row r="19" ht="15.0" customHeight="1">
      <c r="B19" s="69"/>
      <c r="C19" s="70"/>
      <c r="D19" s="62"/>
      <c r="E19" s="280"/>
      <c r="F19" s="281"/>
      <c r="G19" s="280"/>
      <c r="H19" s="281"/>
      <c r="I19" s="278"/>
      <c r="J19" s="281"/>
      <c r="K19" s="71"/>
      <c r="L19" s="281"/>
      <c r="M19" s="280"/>
      <c r="N19" s="68"/>
      <c r="O19" s="73"/>
      <c r="P19" s="277"/>
    </row>
    <row r="20" ht="14.25" customHeight="1">
      <c r="B20" s="282" t="s">
        <v>26</v>
      </c>
      <c r="C20" s="283"/>
      <c r="D20" s="62"/>
      <c r="E20" s="280"/>
      <c r="F20" s="281"/>
      <c r="G20" s="280"/>
      <c r="H20" s="281"/>
      <c r="I20" s="278"/>
      <c r="J20" s="72"/>
      <c r="K20" s="71"/>
      <c r="L20" s="72"/>
      <c r="M20" s="71"/>
      <c r="N20" s="68"/>
      <c r="O20" s="64"/>
      <c r="P20" s="277"/>
    </row>
    <row r="21" ht="14.25" customHeight="1">
      <c r="B21" s="284" t="s">
        <v>416</v>
      </c>
      <c r="C21" s="285"/>
      <c r="D21" s="62"/>
      <c r="E21" s="280"/>
      <c r="F21" s="281"/>
      <c r="G21" s="280"/>
      <c r="H21" s="281"/>
      <c r="I21" s="278"/>
      <c r="J21" s="72"/>
      <c r="K21" s="71"/>
      <c r="L21" s="72"/>
      <c r="M21" s="286"/>
      <c r="N21" s="68"/>
      <c r="O21" s="117"/>
      <c r="P21" s="287"/>
    </row>
    <row r="22" ht="25.5" customHeight="1">
      <c r="B22" s="288" t="s">
        <v>417</v>
      </c>
      <c r="C22" s="289"/>
      <c r="D22" s="62"/>
      <c r="E22" s="290"/>
      <c r="F22" s="291"/>
      <c r="G22" s="290"/>
      <c r="H22" s="291"/>
      <c r="I22" s="292"/>
      <c r="J22" s="293"/>
      <c r="K22" s="294"/>
      <c r="L22" s="293"/>
      <c r="M22" s="294"/>
      <c r="N22" s="145"/>
      <c r="O22" s="117"/>
      <c r="P22" s="295"/>
    </row>
    <row r="23" ht="14.25" customHeight="1">
      <c r="B23" s="296" t="s">
        <v>403</v>
      </c>
      <c r="C23" s="296" t="s">
        <v>418</v>
      </c>
      <c r="D23" s="62"/>
      <c r="E23" s="290"/>
      <c r="F23" s="291"/>
      <c r="G23" s="290"/>
      <c r="H23" s="291"/>
      <c r="I23" s="292">
        <v>1.0</v>
      </c>
      <c r="J23" s="297"/>
      <c r="K23" s="298">
        <v>0.5998</v>
      </c>
      <c r="L23" s="293"/>
      <c r="M23" s="294"/>
      <c r="N23" s="298">
        <v>0.5998</v>
      </c>
      <c r="O23" s="117"/>
      <c r="P23" s="40"/>
    </row>
    <row r="24" ht="14.25" customHeight="1">
      <c r="B24" s="299"/>
      <c r="C24" s="300" t="s">
        <v>419</v>
      </c>
      <c r="D24" s="62"/>
      <c r="E24" s="290" t="s">
        <v>368</v>
      </c>
      <c r="F24" s="291" t="s">
        <v>368</v>
      </c>
      <c r="G24" s="290" t="s">
        <v>368</v>
      </c>
      <c r="H24" s="291" t="s">
        <v>368</v>
      </c>
      <c r="I24" s="292">
        <v>0.02</v>
      </c>
      <c r="J24" s="293">
        <v>0.0032</v>
      </c>
      <c r="K24" s="298">
        <v>0.0066</v>
      </c>
      <c r="L24" s="293"/>
      <c r="M24" s="294"/>
      <c r="N24" s="298">
        <v>0.0066</v>
      </c>
      <c r="O24" s="116">
        <f t="shared" ref="O24:O26" si="1">N24-I24</f>
        <v>-0.0134</v>
      </c>
      <c r="P24" s="40"/>
    </row>
    <row r="25" ht="14.25" customHeight="1">
      <c r="B25" s="299"/>
      <c r="C25" s="300" t="s">
        <v>420</v>
      </c>
      <c r="D25" s="62"/>
      <c r="E25" s="301" t="s">
        <v>368</v>
      </c>
      <c r="F25" s="302" t="s">
        <v>368</v>
      </c>
      <c r="G25" s="301" t="s">
        <v>368</v>
      </c>
      <c r="H25" s="302" t="s">
        <v>368</v>
      </c>
      <c r="I25" s="292">
        <v>0.78</v>
      </c>
      <c r="J25" s="93">
        <v>0.1424</v>
      </c>
      <c r="K25" s="303">
        <v>0.4342</v>
      </c>
      <c r="L25" s="93"/>
      <c r="M25" s="93"/>
      <c r="N25" s="303">
        <v>0.4342</v>
      </c>
      <c r="O25" s="116">
        <f t="shared" si="1"/>
        <v>-0.3458</v>
      </c>
      <c r="P25" s="295"/>
    </row>
    <row r="26" ht="14.25" customHeight="1">
      <c r="B26" s="299"/>
      <c r="C26" s="300" t="s">
        <v>421</v>
      </c>
      <c r="D26" s="62"/>
      <c r="E26" s="304" t="s">
        <v>368</v>
      </c>
      <c r="F26" s="305" t="s">
        <v>368</v>
      </c>
      <c r="G26" s="304" t="s">
        <v>368</v>
      </c>
      <c r="H26" s="305" t="s">
        <v>368</v>
      </c>
      <c r="I26" s="306">
        <v>0.2</v>
      </c>
      <c r="J26" s="139">
        <v>0.0105</v>
      </c>
      <c r="K26" s="303">
        <v>0.136</v>
      </c>
      <c r="L26" s="232"/>
      <c r="M26" s="232"/>
      <c r="N26" s="303">
        <v>0.136</v>
      </c>
      <c r="O26" s="116">
        <f t="shared" si="1"/>
        <v>-0.064</v>
      </c>
      <c r="P26" s="40"/>
    </row>
    <row r="27" ht="14.25" customHeight="1">
      <c r="B27" s="307"/>
      <c r="C27" s="308" t="s">
        <v>422</v>
      </c>
      <c r="D27" s="62"/>
      <c r="E27" s="85"/>
      <c r="F27" s="86"/>
      <c r="G27" s="304"/>
      <c r="H27" s="305"/>
      <c r="I27" s="229"/>
      <c r="J27" s="139">
        <v>28155.0</v>
      </c>
      <c r="K27" s="309">
        <v>94578.0</v>
      </c>
      <c r="L27" s="232"/>
      <c r="M27" s="232"/>
      <c r="N27" s="309">
        <v>94578.0</v>
      </c>
      <c r="O27" s="139"/>
      <c r="P27" s="40"/>
    </row>
    <row r="28" ht="14.25" customHeight="1">
      <c r="B28" s="299"/>
      <c r="C28" s="300" t="s">
        <v>419</v>
      </c>
      <c r="D28" s="62"/>
      <c r="E28" s="85" t="s">
        <v>368</v>
      </c>
      <c r="F28" s="103" t="s">
        <v>368</v>
      </c>
      <c r="G28" s="310" t="s">
        <v>368</v>
      </c>
      <c r="H28" s="103" t="s">
        <v>368</v>
      </c>
      <c r="I28" s="169">
        <v>5624.0</v>
      </c>
      <c r="J28" s="83">
        <v>18.0</v>
      </c>
      <c r="K28" s="311">
        <v>37.0</v>
      </c>
      <c r="L28" s="169"/>
      <c r="M28" s="169"/>
      <c r="N28" s="311">
        <v>37.0</v>
      </c>
      <c r="O28" s="93"/>
      <c r="P28" s="90"/>
    </row>
    <row r="29" ht="26.25" customHeight="1">
      <c r="B29" s="299"/>
      <c r="C29" s="300" t="s">
        <v>420</v>
      </c>
      <c r="D29" s="62"/>
      <c r="E29" s="312" t="s">
        <v>368</v>
      </c>
      <c r="F29" s="313" t="s">
        <v>368</v>
      </c>
      <c r="G29" s="312" t="s">
        <v>368</v>
      </c>
      <c r="H29" s="313" t="s">
        <v>368</v>
      </c>
      <c r="I29" s="229">
        <v>191238.0</v>
      </c>
      <c r="J29" s="83">
        <v>27249.0</v>
      </c>
      <c r="K29" s="314">
        <v>83045.0</v>
      </c>
      <c r="L29" s="315"/>
      <c r="M29" s="232"/>
      <c r="N29" s="314">
        <v>83045.0</v>
      </c>
      <c r="O29" s="316"/>
      <c r="P29" s="287"/>
    </row>
    <row r="30" ht="20.25" customHeight="1">
      <c r="A30" s="105"/>
      <c r="B30" s="299"/>
      <c r="C30" s="300" t="s">
        <v>421</v>
      </c>
      <c r="D30" s="108"/>
      <c r="E30" s="317" t="s">
        <v>368</v>
      </c>
      <c r="F30" s="318" t="s">
        <v>368</v>
      </c>
      <c r="G30" s="319" t="s">
        <v>368</v>
      </c>
      <c r="H30" s="318" t="s">
        <v>368</v>
      </c>
      <c r="I30" s="98">
        <v>84370.0</v>
      </c>
      <c r="J30" s="98">
        <v>888.0</v>
      </c>
      <c r="K30" s="309">
        <v>11496.0</v>
      </c>
      <c r="L30" s="112"/>
      <c r="M30" s="232"/>
      <c r="N30" s="309">
        <v>11496.0</v>
      </c>
      <c r="O30" s="104"/>
      <c r="P30" s="320"/>
      <c r="Q30" s="105"/>
      <c r="R30" s="105"/>
      <c r="S30" s="105"/>
      <c r="T30" s="105"/>
      <c r="U30" s="105"/>
      <c r="V30" s="105"/>
      <c r="W30" s="105"/>
      <c r="X30" s="105"/>
      <c r="Y30" s="105"/>
      <c r="Z30" s="105"/>
    </row>
    <row r="31" ht="14.25" customHeight="1">
      <c r="B31" s="321" t="s">
        <v>423</v>
      </c>
      <c r="C31" s="322"/>
      <c r="D31" s="62"/>
      <c r="E31" s="64"/>
      <c r="F31" s="68"/>
      <c r="G31" s="64"/>
      <c r="H31" s="68"/>
      <c r="I31" s="64"/>
      <c r="J31" s="229"/>
      <c r="K31" s="229"/>
      <c r="L31" s="112"/>
      <c r="M31" s="229"/>
      <c r="N31" s="230" t="str">
        <f>J31</f>
        <v/>
      </c>
      <c r="O31" s="93"/>
      <c r="P31" s="320"/>
    </row>
    <row r="32" ht="14.25" customHeight="1">
      <c r="B32" s="299" t="s">
        <v>403</v>
      </c>
      <c r="C32" s="296" t="s">
        <v>424</v>
      </c>
      <c r="D32" s="62"/>
      <c r="E32" s="139">
        <v>281232.0</v>
      </c>
      <c r="F32" s="140">
        <v>281232.0</v>
      </c>
      <c r="G32" s="139">
        <v>281232.0</v>
      </c>
      <c r="H32" s="140">
        <v>281232.0</v>
      </c>
      <c r="I32" s="139">
        <v>281232.0</v>
      </c>
      <c r="J32" s="232">
        <v>478865.0</v>
      </c>
      <c r="K32" s="323">
        <v>196006.0</v>
      </c>
      <c r="L32" s="324"/>
      <c r="M32" s="229"/>
      <c r="N32" s="323">
        <v>196006.0</v>
      </c>
      <c r="O32" s="232">
        <f t="shared" ref="O32:O33" si="2">N32-I32</f>
        <v>-85226</v>
      </c>
      <c r="P32" s="325"/>
    </row>
    <row r="33" ht="14.25" customHeight="1">
      <c r="B33" s="299" t="s">
        <v>403</v>
      </c>
      <c r="C33" s="296" t="s">
        <v>425</v>
      </c>
      <c r="D33" s="62"/>
      <c r="E33" s="139">
        <v>9203.0</v>
      </c>
      <c r="F33" s="140">
        <v>9203.0</v>
      </c>
      <c r="G33" s="139">
        <v>9203.0</v>
      </c>
      <c r="H33" s="140">
        <v>9203.0</v>
      </c>
      <c r="I33" s="139">
        <v>9203.0</v>
      </c>
      <c r="J33" s="232">
        <v>0.0</v>
      </c>
      <c r="K33" s="323">
        <v>6952.0</v>
      </c>
      <c r="L33" s="324"/>
      <c r="M33" s="158"/>
      <c r="N33" s="323">
        <v>6952.0</v>
      </c>
      <c r="O33" s="232">
        <f t="shared" si="2"/>
        <v>-2251</v>
      </c>
      <c r="P33" s="325"/>
    </row>
    <row r="34" ht="14.25" customHeight="1">
      <c r="B34" s="326"/>
      <c r="C34" s="327" t="s">
        <v>426</v>
      </c>
      <c r="D34" s="62"/>
      <c r="E34" s="328"/>
      <c r="F34" s="329"/>
      <c r="G34" s="328"/>
      <c r="H34" s="329"/>
      <c r="I34" s="139"/>
      <c r="J34" s="232">
        <v>0.0</v>
      </c>
      <c r="K34" s="323">
        <v>6952.0</v>
      </c>
      <c r="L34" s="324"/>
      <c r="M34" s="229"/>
      <c r="N34" s="323">
        <v>6952.0</v>
      </c>
      <c r="O34" s="93"/>
      <c r="P34" s="325"/>
    </row>
    <row r="35" ht="14.25" customHeight="1">
      <c r="B35" s="326"/>
      <c r="C35" s="330" t="s">
        <v>427</v>
      </c>
      <c r="D35" s="62"/>
      <c r="E35" s="328"/>
      <c r="F35" s="329"/>
      <c r="G35" s="328"/>
      <c r="H35" s="329"/>
      <c r="I35" s="139"/>
      <c r="J35" s="93">
        <v>0.0</v>
      </c>
      <c r="K35" s="311">
        <v>1127.0</v>
      </c>
      <c r="L35" s="104"/>
      <c r="M35" s="92"/>
      <c r="N35" s="311">
        <v>1127.0</v>
      </c>
      <c r="O35" s="93"/>
      <c r="P35" s="325"/>
    </row>
    <row r="36" ht="14.25" customHeight="1">
      <c r="B36" s="326"/>
      <c r="C36" s="330" t="s">
        <v>428</v>
      </c>
      <c r="D36" s="62"/>
      <c r="E36" s="278"/>
      <c r="F36" s="279"/>
      <c r="G36" s="278"/>
      <c r="H36" s="279"/>
      <c r="I36" s="278"/>
      <c r="J36" s="64">
        <v>0.0</v>
      </c>
      <c r="K36" s="331">
        <v>5825.0</v>
      </c>
      <c r="L36" s="117"/>
      <c r="M36" s="63"/>
      <c r="N36" s="331">
        <v>5825.0</v>
      </c>
      <c r="O36" s="64"/>
      <c r="P36" s="277"/>
    </row>
    <row r="37" ht="21.0" customHeight="1">
      <c r="B37" s="332" t="s">
        <v>429</v>
      </c>
      <c r="C37" s="333"/>
      <c r="D37" s="62"/>
      <c r="E37" s="334"/>
      <c r="F37" s="335"/>
      <c r="G37" s="334"/>
      <c r="H37" s="335"/>
      <c r="I37" s="139"/>
      <c r="J37" s="98"/>
      <c r="K37" s="98"/>
      <c r="L37" s="336"/>
      <c r="M37" s="98"/>
      <c r="N37" s="230" t="str">
        <f t="shared" ref="N37:N45" si="3">J37</f>
        <v/>
      </c>
      <c r="O37" s="98"/>
      <c r="P37" s="337"/>
    </row>
    <row r="38" ht="16.5" customHeight="1">
      <c r="A38" s="105"/>
      <c r="B38" s="321" t="s">
        <v>423</v>
      </c>
      <c r="C38" s="322"/>
      <c r="D38" s="108"/>
      <c r="E38" s="338"/>
      <c r="F38" s="339"/>
      <c r="G38" s="338"/>
      <c r="H38" s="340"/>
      <c r="I38" s="127"/>
      <c r="J38" s="127"/>
      <c r="K38" s="341"/>
      <c r="L38" s="342"/>
      <c r="M38" s="341"/>
      <c r="N38" s="230" t="str">
        <f t="shared" si="3"/>
        <v/>
      </c>
      <c r="O38" s="341">
        <f>N38-I38</f>
        <v>0</v>
      </c>
      <c r="P38" s="325"/>
      <c r="Q38" s="105"/>
      <c r="R38" s="105"/>
      <c r="S38" s="105"/>
      <c r="T38" s="105"/>
      <c r="U38" s="105"/>
      <c r="V38" s="105"/>
      <c r="W38" s="105"/>
      <c r="X38" s="105"/>
      <c r="Y38" s="105"/>
      <c r="Z38" s="105"/>
    </row>
    <row r="39" ht="14.25" customHeight="1">
      <c r="B39" s="299"/>
      <c r="C39" s="343" t="s">
        <v>430</v>
      </c>
      <c r="D39" s="62"/>
      <c r="E39" s="120" t="s">
        <v>368</v>
      </c>
      <c r="F39" s="120" t="s">
        <v>368</v>
      </c>
      <c r="G39" s="120">
        <v>2.0</v>
      </c>
      <c r="H39" s="120">
        <v>9.0</v>
      </c>
      <c r="I39" s="120">
        <v>11.0</v>
      </c>
      <c r="J39" s="120">
        <v>0.0</v>
      </c>
      <c r="K39" s="344">
        <v>0.0</v>
      </c>
      <c r="L39" s="123"/>
      <c r="M39" s="120"/>
      <c r="N39" s="230">
        <f t="shared" si="3"/>
        <v>0</v>
      </c>
      <c r="O39" s="123"/>
      <c r="P39" s="287"/>
    </row>
    <row r="40" ht="18.75" customHeight="1">
      <c r="B40" s="299"/>
      <c r="C40" s="330" t="s">
        <v>431</v>
      </c>
      <c r="D40" s="62"/>
      <c r="E40" s="120"/>
      <c r="F40" s="121"/>
      <c r="G40" s="120"/>
      <c r="H40" s="122"/>
      <c r="I40" s="127"/>
      <c r="J40" s="120">
        <v>0.0</v>
      </c>
      <c r="K40" s="344">
        <v>0.0</v>
      </c>
      <c r="L40" s="123"/>
      <c r="M40" s="120"/>
      <c r="N40" s="230">
        <f t="shared" si="3"/>
        <v>0</v>
      </c>
      <c r="O40" s="123"/>
      <c r="P40" s="287"/>
    </row>
    <row r="41" ht="14.25" customHeight="1">
      <c r="B41" s="299"/>
      <c r="C41" s="330" t="s">
        <v>432</v>
      </c>
      <c r="D41" s="62"/>
      <c r="E41" s="120" t="s">
        <v>368</v>
      </c>
      <c r="F41" s="121" t="s">
        <v>368</v>
      </c>
      <c r="G41" s="120">
        <v>0.0</v>
      </c>
      <c r="H41" s="122">
        <v>1.0</v>
      </c>
      <c r="I41" s="127">
        <v>1.0</v>
      </c>
      <c r="J41" s="120">
        <v>0.0</v>
      </c>
      <c r="K41" s="344">
        <v>0.0</v>
      </c>
      <c r="L41" s="123"/>
      <c r="M41" s="120"/>
      <c r="N41" s="230">
        <f t="shared" si="3"/>
        <v>0</v>
      </c>
      <c r="O41" s="123">
        <v>0.0</v>
      </c>
      <c r="P41" s="287"/>
    </row>
    <row r="42" ht="14.25" customHeight="1">
      <c r="B42" s="299"/>
      <c r="C42" s="327" t="s">
        <v>433</v>
      </c>
      <c r="D42" s="62"/>
      <c r="E42" s="120"/>
      <c r="F42" s="121"/>
      <c r="G42" s="127"/>
      <c r="H42" s="129"/>
      <c r="I42" s="127"/>
      <c r="J42" s="120">
        <v>0.0</v>
      </c>
      <c r="K42" s="344">
        <v>0.0</v>
      </c>
      <c r="L42" s="123"/>
      <c r="M42" s="120"/>
      <c r="N42" s="230">
        <f t="shared" si="3"/>
        <v>0</v>
      </c>
      <c r="O42" s="123">
        <v>0.0</v>
      </c>
      <c r="P42" s="287"/>
    </row>
    <row r="43" ht="14.25" customHeight="1">
      <c r="B43" s="299"/>
      <c r="C43" s="330" t="s">
        <v>431</v>
      </c>
      <c r="D43" s="62"/>
      <c r="E43" s="120" t="s">
        <v>368</v>
      </c>
      <c r="F43" s="121" t="s">
        <v>368</v>
      </c>
      <c r="G43" s="120">
        <v>500.0</v>
      </c>
      <c r="H43" s="122">
        <v>2250.0</v>
      </c>
      <c r="I43" s="127">
        <v>2750.0</v>
      </c>
      <c r="J43" s="120">
        <v>0.0</v>
      </c>
      <c r="K43" s="344">
        <v>0.0</v>
      </c>
      <c r="L43" s="123"/>
      <c r="M43" s="120"/>
      <c r="N43" s="230">
        <f t="shared" si="3"/>
        <v>0</v>
      </c>
      <c r="O43" s="123">
        <v>0.0</v>
      </c>
      <c r="P43" s="287"/>
    </row>
    <row r="44" ht="14.25" customHeight="1">
      <c r="B44" s="299"/>
      <c r="C44" s="330" t="s">
        <v>432</v>
      </c>
      <c r="D44" s="62"/>
      <c r="E44" s="120" t="s">
        <v>368</v>
      </c>
      <c r="F44" s="121" t="s">
        <v>368</v>
      </c>
      <c r="G44" s="120" t="s">
        <v>368</v>
      </c>
      <c r="H44" s="122">
        <v>250.0</v>
      </c>
      <c r="I44" s="127">
        <v>250.0</v>
      </c>
      <c r="J44" s="120">
        <v>0.0</v>
      </c>
      <c r="K44" s="344">
        <v>0.0</v>
      </c>
      <c r="L44" s="120"/>
      <c r="M44" s="120"/>
      <c r="N44" s="230">
        <f t="shared" si="3"/>
        <v>0</v>
      </c>
      <c r="O44" s="123"/>
      <c r="P44" s="287"/>
    </row>
    <row r="45" ht="15.0" customHeight="1">
      <c r="B45" s="299"/>
      <c r="C45" s="327" t="s">
        <v>434</v>
      </c>
      <c r="D45" s="62"/>
      <c r="E45" s="120"/>
      <c r="F45" s="121"/>
      <c r="G45" s="120"/>
      <c r="H45" s="122"/>
      <c r="I45" s="127"/>
      <c r="J45" s="127">
        <v>0.0</v>
      </c>
      <c r="K45" s="345">
        <v>0.0</v>
      </c>
      <c r="L45" s="123"/>
      <c r="M45" s="120"/>
      <c r="N45" s="230">
        <f t="shared" si="3"/>
        <v>0</v>
      </c>
      <c r="O45" s="123"/>
      <c r="P45" s="287"/>
    </row>
    <row r="46" ht="15.0" customHeight="1">
      <c r="B46" s="299"/>
      <c r="C46" s="327" t="s">
        <v>435</v>
      </c>
      <c r="D46" s="62"/>
      <c r="E46" s="120"/>
      <c r="F46" s="121"/>
      <c r="G46" s="120"/>
      <c r="H46" s="122"/>
      <c r="I46" s="127"/>
      <c r="J46" s="127">
        <v>0.0</v>
      </c>
      <c r="K46" s="345">
        <v>142.0</v>
      </c>
      <c r="L46" s="123"/>
      <c r="M46" s="120"/>
      <c r="N46" s="345">
        <v>142.0</v>
      </c>
      <c r="O46" s="123"/>
      <c r="P46" s="287"/>
    </row>
    <row r="47" ht="15.0" customHeight="1">
      <c r="A47" s="184"/>
      <c r="B47" s="299"/>
      <c r="C47" s="327" t="s">
        <v>436</v>
      </c>
      <c r="D47" s="62"/>
      <c r="E47" s="120" t="s">
        <v>368</v>
      </c>
      <c r="F47" s="121" t="s">
        <v>368</v>
      </c>
      <c r="G47" s="120">
        <v>180.0</v>
      </c>
      <c r="H47" s="122">
        <v>720.0</v>
      </c>
      <c r="I47" s="127">
        <v>900.0</v>
      </c>
      <c r="J47" s="127">
        <v>0.0</v>
      </c>
      <c r="K47" s="345">
        <v>1000.0</v>
      </c>
      <c r="L47" s="346"/>
      <c r="M47" s="127"/>
      <c r="N47" s="345">
        <v>1000.0</v>
      </c>
      <c r="O47" s="120">
        <f>N47-I47</f>
        <v>100</v>
      </c>
      <c r="P47" s="347"/>
      <c r="Q47" s="184"/>
      <c r="R47" s="184"/>
      <c r="S47" s="184"/>
      <c r="T47" s="184"/>
      <c r="U47" s="184"/>
      <c r="V47" s="184"/>
      <c r="W47" s="184"/>
      <c r="X47" s="184"/>
      <c r="Y47" s="184"/>
      <c r="Z47" s="184"/>
    </row>
    <row r="48" ht="14.25" customHeight="1">
      <c r="B48" s="299"/>
      <c r="C48" s="327" t="s">
        <v>437</v>
      </c>
      <c r="D48" s="62"/>
      <c r="E48" s="83" t="s">
        <v>368</v>
      </c>
      <c r="F48" s="68" t="s">
        <v>368</v>
      </c>
      <c r="G48" s="83">
        <v>179.0</v>
      </c>
      <c r="H48" s="119">
        <v>714.0</v>
      </c>
      <c r="I48" s="64">
        <v>893.0</v>
      </c>
      <c r="J48" s="98">
        <v>0.0</v>
      </c>
      <c r="K48" s="309">
        <v>0.0</v>
      </c>
      <c r="L48" s="348"/>
      <c r="M48" s="78"/>
      <c r="N48" s="309">
        <v>0.0</v>
      </c>
      <c r="O48" s="63"/>
      <c r="P48" s="277"/>
    </row>
    <row r="49" ht="14.25" customHeight="1">
      <c r="B49" s="299"/>
      <c r="C49" s="349" t="s">
        <v>81</v>
      </c>
      <c r="D49" s="62"/>
      <c r="E49" s="64"/>
      <c r="F49" s="64"/>
      <c r="G49" s="64"/>
      <c r="H49" s="64"/>
      <c r="I49" s="64"/>
      <c r="J49" s="98" t="e">
        <v>#DIV/0!</v>
      </c>
      <c r="K49" s="303">
        <v>0.7162</v>
      </c>
      <c r="L49" s="112"/>
      <c r="M49" s="139"/>
      <c r="N49" s="303">
        <v>0.7162</v>
      </c>
      <c r="O49" s="83"/>
      <c r="P49" s="277"/>
    </row>
    <row r="50" ht="14.25" customHeight="1">
      <c r="B50" s="299"/>
      <c r="C50" s="350" t="s">
        <v>438</v>
      </c>
      <c r="D50" s="62"/>
      <c r="E50" s="64"/>
      <c r="F50" s="64"/>
      <c r="G50" s="64"/>
      <c r="H50" s="64"/>
      <c r="I50" s="64"/>
      <c r="J50" s="98">
        <v>0.0</v>
      </c>
      <c r="K50" s="309">
        <v>164.0</v>
      </c>
      <c r="L50" s="112"/>
      <c r="M50" s="139"/>
      <c r="N50" s="309">
        <v>164.0</v>
      </c>
      <c r="O50" s="83"/>
      <c r="P50" s="277"/>
    </row>
    <row r="51" ht="14.25" customHeight="1">
      <c r="B51" s="299"/>
      <c r="C51" s="350" t="s">
        <v>439</v>
      </c>
      <c r="D51" s="62"/>
      <c r="E51" s="64"/>
      <c r="F51" s="64"/>
      <c r="G51" s="64"/>
      <c r="H51" s="64"/>
      <c r="I51" s="64"/>
      <c r="J51" s="140">
        <v>0.0</v>
      </c>
      <c r="K51" s="311">
        <v>229.0</v>
      </c>
      <c r="L51" s="141"/>
      <c r="M51" s="139"/>
      <c r="N51" s="311">
        <v>229.0</v>
      </c>
      <c r="O51" s="83"/>
      <c r="P51" s="277"/>
    </row>
    <row r="52" ht="15.75" customHeight="1">
      <c r="B52" s="299"/>
      <c r="C52" s="327" t="s">
        <v>440</v>
      </c>
      <c r="D52" s="62"/>
      <c r="E52" s="114"/>
      <c r="F52" s="114"/>
      <c r="G52" s="114"/>
      <c r="H52" s="114"/>
      <c r="I52" s="114"/>
      <c r="J52" s="115" t="e">
        <v>#DIV/0!</v>
      </c>
      <c r="K52" s="92"/>
      <c r="L52" s="116"/>
      <c r="M52" s="92"/>
      <c r="N52" s="230" t="str">
        <f t="shared" ref="N52:N63" si="4">J52</f>
        <v>#DIV/0!</v>
      </c>
      <c r="O52" s="83"/>
      <c r="P52" s="351"/>
    </row>
    <row r="53" ht="15.75" customHeight="1">
      <c r="B53" s="299"/>
      <c r="C53" s="308" t="s">
        <v>441</v>
      </c>
      <c r="D53" s="62"/>
      <c r="E53" s="278"/>
      <c r="F53" s="68"/>
      <c r="G53" s="64"/>
      <c r="H53" s="64"/>
      <c r="I53" s="64"/>
      <c r="J53" s="64">
        <v>0.0</v>
      </c>
      <c r="K53" s="64"/>
      <c r="L53" s="117"/>
      <c r="M53" s="64"/>
      <c r="N53" s="230">
        <f t="shared" si="4"/>
        <v>0</v>
      </c>
      <c r="O53" s="83"/>
      <c r="P53" s="295"/>
    </row>
    <row r="54" ht="15.75" customHeight="1">
      <c r="B54" s="299"/>
      <c r="C54" s="350" t="s">
        <v>442</v>
      </c>
      <c r="D54" s="62"/>
      <c r="E54" s="334"/>
      <c r="F54" s="119"/>
      <c r="G54" s="83"/>
      <c r="H54" s="119"/>
      <c r="I54" s="83"/>
      <c r="J54" s="119">
        <v>0.0</v>
      </c>
      <c r="K54" s="83"/>
      <c r="L54" s="88"/>
      <c r="M54" s="83"/>
      <c r="N54" s="230">
        <f t="shared" si="4"/>
        <v>0</v>
      </c>
      <c r="O54" s="83"/>
      <c r="P54" s="90"/>
    </row>
    <row r="55" ht="14.25" customHeight="1">
      <c r="B55" s="299"/>
      <c r="C55" s="349" t="s">
        <v>443</v>
      </c>
      <c r="D55" s="62"/>
      <c r="E55" s="352"/>
      <c r="F55" s="230"/>
      <c r="G55" s="92"/>
      <c r="H55" s="145"/>
      <c r="I55" s="229"/>
      <c r="J55" s="145">
        <v>0.0</v>
      </c>
      <c r="K55" s="229"/>
      <c r="L55" s="230"/>
      <c r="M55" s="229"/>
      <c r="N55" s="230">
        <f t="shared" si="4"/>
        <v>0</v>
      </c>
      <c r="O55" s="229"/>
      <c r="P55" s="353"/>
    </row>
    <row r="56" ht="14.25" customHeight="1">
      <c r="B56" s="299"/>
      <c r="C56" s="308" t="s">
        <v>444</v>
      </c>
      <c r="D56" s="62"/>
      <c r="E56" s="354"/>
      <c r="F56" s="230"/>
      <c r="G56" s="158"/>
      <c r="H56" s="160"/>
      <c r="I56" s="229"/>
      <c r="J56" s="230">
        <v>0.0</v>
      </c>
      <c r="K56" s="230"/>
      <c r="L56" s="230"/>
      <c r="M56" s="230"/>
      <c r="N56" s="230">
        <f t="shared" si="4"/>
        <v>0</v>
      </c>
      <c r="O56" s="229"/>
      <c r="P56" s="353"/>
    </row>
    <row r="57" ht="14.25" customHeight="1">
      <c r="B57" s="284" t="s">
        <v>445</v>
      </c>
      <c r="C57" s="355"/>
      <c r="D57" s="62"/>
      <c r="E57" s="229"/>
      <c r="F57" s="115"/>
      <c r="G57" s="114"/>
      <c r="H57" s="115"/>
      <c r="I57" s="114"/>
      <c r="J57" s="230"/>
      <c r="K57" s="92"/>
      <c r="L57" s="145"/>
      <c r="M57" s="114"/>
      <c r="N57" s="230" t="str">
        <f t="shared" si="4"/>
        <v/>
      </c>
      <c r="O57" s="229"/>
      <c r="P57" s="353"/>
    </row>
    <row r="58" ht="14.25" customHeight="1">
      <c r="B58" s="288" t="s">
        <v>423</v>
      </c>
      <c r="C58" s="356"/>
      <c r="D58" s="62"/>
      <c r="E58" s="229"/>
      <c r="F58" s="230"/>
      <c r="G58" s="158"/>
      <c r="H58" s="158"/>
      <c r="I58" s="229"/>
      <c r="J58" s="230"/>
      <c r="K58" s="229"/>
      <c r="L58" s="230"/>
      <c r="M58" s="229"/>
      <c r="N58" s="230" t="str">
        <f t="shared" si="4"/>
        <v/>
      </c>
      <c r="O58" s="229"/>
      <c r="P58" s="353"/>
    </row>
    <row r="59" ht="14.25" customHeight="1">
      <c r="B59" s="357"/>
      <c r="C59" s="349" t="s">
        <v>446</v>
      </c>
      <c r="D59" s="62"/>
      <c r="E59" s="229" t="s">
        <v>368</v>
      </c>
      <c r="F59" s="230" t="s">
        <v>368</v>
      </c>
      <c r="G59" s="158">
        <v>5.0</v>
      </c>
      <c r="H59" s="160">
        <v>5.0</v>
      </c>
      <c r="I59" s="229">
        <v>10.0</v>
      </c>
      <c r="J59" s="230">
        <v>0.0</v>
      </c>
      <c r="K59" s="229"/>
      <c r="L59" s="230"/>
      <c r="M59" s="114"/>
      <c r="N59" s="230">
        <f t="shared" si="4"/>
        <v>0</v>
      </c>
      <c r="O59" s="229">
        <f>N59-I59</f>
        <v>-10</v>
      </c>
      <c r="P59" s="353"/>
    </row>
    <row r="60" ht="14.25" customHeight="1">
      <c r="B60" s="357"/>
      <c r="C60" s="349" t="s">
        <v>447</v>
      </c>
      <c r="D60" s="62"/>
      <c r="E60" s="229"/>
      <c r="F60" s="230"/>
      <c r="G60" s="158"/>
      <c r="H60" s="160"/>
      <c r="I60" s="229"/>
      <c r="J60" s="230">
        <v>0.0</v>
      </c>
      <c r="K60" s="229"/>
      <c r="L60" s="230"/>
      <c r="M60" s="64"/>
      <c r="N60" s="230">
        <f t="shared" si="4"/>
        <v>0</v>
      </c>
      <c r="O60" s="229"/>
      <c r="P60" s="353"/>
    </row>
    <row r="61" ht="14.25" customHeight="1">
      <c r="B61" s="284" t="s">
        <v>448</v>
      </c>
      <c r="C61" s="355"/>
      <c r="D61" s="62"/>
      <c r="E61" s="229"/>
      <c r="F61" s="230"/>
      <c r="G61" s="158"/>
      <c r="H61" s="160"/>
      <c r="I61" s="229"/>
      <c r="J61" s="230"/>
      <c r="K61" s="230"/>
      <c r="L61" s="230"/>
      <c r="M61" s="230"/>
      <c r="N61" s="230" t="str">
        <f t="shared" si="4"/>
        <v/>
      </c>
      <c r="O61" s="229"/>
      <c r="P61" s="353"/>
    </row>
    <row r="62" ht="14.25" customHeight="1">
      <c r="B62" s="288" t="s">
        <v>423</v>
      </c>
      <c r="C62" s="356"/>
      <c r="D62" s="62"/>
      <c r="E62" s="229"/>
      <c r="F62" s="230"/>
      <c r="G62" s="229"/>
      <c r="H62" s="230"/>
      <c r="I62" s="229"/>
      <c r="J62" s="230"/>
      <c r="K62" s="230"/>
      <c r="L62" s="230"/>
      <c r="M62" s="230"/>
      <c r="N62" s="230" t="str">
        <f t="shared" si="4"/>
        <v/>
      </c>
      <c r="O62" s="229"/>
      <c r="P62" s="353"/>
    </row>
    <row r="63" ht="14.25" customHeight="1">
      <c r="B63" s="357"/>
      <c r="C63" s="349" t="s">
        <v>449</v>
      </c>
      <c r="D63" s="62"/>
      <c r="E63" s="229" t="s">
        <v>368</v>
      </c>
      <c r="F63" s="230">
        <v>80.0</v>
      </c>
      <c r="G63" s="158">
        <v>67.0</v>
      </c>
      <c r="H63" s="160" t="s">
        <v>368</v>
      </c>
      <c r="I63" s="229">
        <v>147.0</v>
      </c>
      <c r="J63" s="230">
        <v>0.0</v>
      </c>
      <c r="K63" s="229"/>
      <c r="L63" s="230"/>
      <c r="M63" s="229"/>
      <c r="N63" s="230">
        <f t="shared" si="4"/>
        <v>0</v>
      </c>
      <c r="O63" s="229">
        <f t="shared" ref="O63:O64" si="5">N63-I63</f>
        <v>-147</v>
      </c>
      <c r="P63" s="353"/>
    </row>
    <row r="64" ht="14.25" customHeight="1">
      <c r="B64" s="327"/>
      <c r="C64" s="349" t="s">
        <v>450</v>
      </c>
      <c r="D64" s="62"/>
      <c r="E64" s="229" t="s">
        <v>368</v>
      </c>
      <c r="F64" s="230">
        <v>500.0</v>
      </c>
      <c r="G64" s="229">
        <v>2000.0</v>
      </c>
      <c r="H64" s="230">
        <v>2131.0</v>
      </c>
      <c r="I64" s="229">
        <v>4631.0</v>
      </c>
      <c r="J64" s="230">
        <v>0.0</v>
      </c>
      <c r="K64" s="314">
        <v>4602.0</v>
      </c>
      <c r="L64" s="230"/>
      <c r="M64" s="229"/>
      <c r="N64" s="358">
        <v>4602.0</v>
      </c>
      <c r="O64" s="229">
        <f t="shared" si="5"/>
        <v>-29</v>
      </c>
      <c r="P64" s="353"/>
    </row>
    <row r="65" ht="14.25" customHeight="1">
      <c r="B65" s="332" t="s">
        <v>451</v>
      </c>
      <c r="C65" s="333"/>
      <c r="D65" s="62"/>
      <c r="E65" s="229"/>
      <c r="F65" s="230"/>
      <c r="G65" s="158"/>
      <c r="H65" s="160"/>
      <c r="I65" s="229"/>
      <c r="J65" s="230"/>
      <c r="K65" s="229"/>
      <c r="L65" s="230"/>
      <c r="M65" s="229"/>
      <c r="N65" s="230" t="str">
        <f t="shared" ref="N65:N67" si="6">J65</f>
        <v/>
      </c>
      <c r="O65" s="229"/>
      <c r="P65" s="353"/>
    </row>
    <row r="66" ht="14.25" customHeight="1">
      <c r="B66" s="321" t="s">
        <v>417</v>
      </c>
      <c r="C66" s="322"/>
      <c r="D66" s="62"/>
      <c r="E66" s="229"/>
      <c r="F66" s="230"/>
      <c r="G66" s="229"/>
      <c r="H66" s="230"/>
      <c r="I66" s="229"/>
      <c r="J66" s="230"/>
      <c r="K66" s="229"/>
      <c r="L66" s="230"/>
      <c r="M66" s="229"/>
      <c r="N66" s="230" t="str">
        <f t="shared" si="6"/>
        <v/>
      </c>
      <c r="O66" s="229">
        <f>N66-I66</f>
        <v>0</v>
      </c>
      <c r="P66" s="95"/>
    </row>
    <row r="67" ht="14.25" customHeight="1">
      <c r="B67" s="299"/>
      <c r="C67" s="327" t="s">
        <v>452</v>
      </c>
      <c r="D67" s="62"/>
      <c r="E67" s="229"/>
      <c r="F67" s="230"/>
      <c r="G67" s="158"/>
      <c r="H67" s="160"/>
      <c r="I67" s="229"/>
      <c r="J67" s="230">
        <v>0.0</v>
      </c>
      <c r="K67" s="229"/>
      <c r="L67" s="230"/>
      <c r="M67" s="114"/>
      <c r="N67" s="230">
        <f t="shared" si="6"/>
        <v>0</v>
      </c>
      <c r="O67" s="229"/>
      <c r="P67" s="353"/>
    </row>
    <row r="68" ht="14.25" customHeight="1">
      <c r="B68" s="299"/>
      <c r="C68" s="359" t="s">
        <v>453</v>
      </c>
      <c r="D68" s="62"/>
      <c r="E68" s="229"/>
      <c r="F68" s="230"/>
      <c r="G68" s="229"/>
      <c r="H68" s="230"/>
      <c r="I68" s="314">
        <v>18340.0</v>
      </c>
      <c r="J68" s="358">
        <v>359.0</v>
      </c>
      <c r="K68" s="314">
        <v>6426.0</v>
      </c>
      <c r="L68" s="230"/>
      <c r="M68" s="229"/>
      <c r="N68" s="230">
        <f t="shared" ref="N68:N69" si="7">sum(J68:M68)</f>
        <v>6785</v>
      </c>
      <c r="O68" s="229">
        <f>N68-I68</f>
        <v>-11555</v>
      </c>
      <c r="P68" s="353"/>
    </row>
    <row r="69" ht="14.25" customHeight="1">
      <c r="B69" s="296"/>
      <c r="C69" s="360" t="s">
        <v>454</v>
      </c>
      <c r="D69" s="62"/>
      <c r="E69" s="229"/>
      <c r="F69" s="230"/>
      <c r="G69" s="229"/>
      <c r="H69" s="230"/>
      <c r="I69" s="229"/>
      <c r="J69" s="358">
        <v>359.0</v>
      </c>
      <c r="K69" s="314">
        <v>6426.0</v>
      </c>
      <c r="L69" s="230"/>
      <c r="M69" s="229"/>
      <c r="N69" s="230">
        <f t="shared" si="7"/>
        <v>6785</v>
      </c>
      <c r="O69" s="229"/>
      <c r="P69" s="353"/>
    </row>
    <row r="70" ht="14.25" customHeight="1">
      <c r="B70" s="296"/>
      <c r="C70" s="360" t="s">
        <v>455</v>
      </c>
      <c r="D70" s="62"/>
      <c r="E70" s="229"/>
      <c r="F70" s="230"/>
      <c r="G70" s="229"/>
      <c r="H70" s="230"/>
      <c r="I70" s="229"/>
      <c r="J70" s="230">
        <v>0.0</v>
      </c>
      <c r="K70" s="229"/>
      <c r="L70" s="230"/>
      <c r="M70" s="229"/>
      <c r="N70" s="230">
        <f t="shared" ref="N70:N78" si="8">J70</f>
        <v>0</v>
      </c>
      <c r="O70" s="229"/>
      <c r="P70" s="353"/>
    </row>
    <row r="71" ht="14.25" customHeight="1">
      <c r="B71" s="296"/>
      <c r="C71" s="360" t="s">
        <v>456</v>
      </c>
      <c r="D71" s="62"/>
      <c r="E71" s="229"/>
      <c r="F71" s="230"/>
      <c r="G71" s="229"/>
      <c r="H71" s="230"/>
      <c r="I71" s="229"/>
      <c r="J71" s="230">
        <v>0.0</v>
      </c>
      <c r="K71" s="229"/>
      <c r="L71" s="230"/>
      <c r="M71" s="229"/>
      <c r="N71" s="230">
        <f t="shared" si="8"/>
        <v>0</v>
      </c>
      <c r="O71" s="229"/>
      <c r="P71" s="353"/>
    </row>
    <row r="72" ht="14.25" customHeight="1">
      <c r="B72" s="296"/>
      <c r="C72" s="360" t="s">
        <v>457</v>
      </c>
      <c r="D72" s="62"/>
      <c r="E72" s="229"/>
      <c r="F72" s="230"/>
      <c r="G72" s="229"/>
      <c r="H72" s="230"/>
      <c r="I72" s="229"/>
      <c r="J72" s="358">
        <v>0.0</v>
      </c>
      <c r="K72" s="229"/>
      <c r="L72" s="230"/>
      <c r="M72" s="229"/>
      <c r="N72" s="230">
        <f t="shared" si="8"/>
        <v>0</v>
      </c>
      <c r="O72" s="229"/>
      <c r="P72" s="353"/>
    </row>
    <row r="73" ht="14.25" customHeight="1">
      <c r="B73" s="299"/>
      <c r="C73" s="359" t="s">
        <v>458</v>
      </c>
      <c r="D73" s="62"/>
      <c r="E73" s="229"/>
      <c r="F73" s="230"/>
      <c r="G73" s="229"/>
      <c r="H73" s="230"/>
      <c r="I73" s="229"/>
      <c r="J73" s="358">
        <v>0.0</v>
      </c>
      <c r="K73" s="229"/>
      <c r="L73" s="68"/>
      <c r="M73" s="229"/>
      <c r="N73" s="230">
        <f t="shared" si="8"/>
        <v>0</v>
      </c>
      <c r="O73" s="229"/>
      <c r="P73" s="353"/>
    </row>
    <row r="74" ht="14.25" customHeight="1">
      <c r="B74" s="296"/>
      <c r="C74" s="360" t="s">
        <v>454</v>
      </c>
      <c r="D74" s="62"/>
      <c r="E74" s="114"/>
      <c r="F74" s="114"/>
      <c r="G74" s="114"/>
      <c r="H74" s="114"/>
      <c r="I74" s="114"/>
      <c r="J74" s="68">
        <v>0.0</v>
      </c>
      <c r="K74" s="229"/>
      <c r="L74" s="68"/>
      <c r="M74" s="229"/>
      <c r="N74" s="230">
        <f t="shared" si="8"/>
        <v>0</v>
      </c>
      <c r="O74" s="229"/>
      <c r="P74" s="353"/>
    </row>
    <row r="75" ht="14.25" customHeight="1">
      <c r="B75" s="296"/>
      <c r="C75" s="360" t="s">
        <v>455</v>
      </c>
      <c r="D75" s="62"/>
      <c r="E75" s="114"/>
      <c r="F75" s="114"/>
      <c r="G75" s="114"/>
      <c r="H75" s="114"/>
      <c r="I75" s="114"/>
      <c r="J75" s="68">
        <v>0.0</v>
      </c>
      <c r="K75" s="64"/>
      <c r="L75" s="117"/>
      <c r="M75" s="64"/>
      <c r="N75" s="230">
        <f t="shared" si="8"/>
        <v>0</v>
      </c>
      <c r="O75" s="229"/>
      <c r="P75" s="353"/>
    </row>
    <row r="76" ht="14.25" customHeight="1">
      <c r="B76" s="296"/>
      <c r="C76" s="360" t="s">
        <v>456</v>
      </c>
      <c r="D76" s="62"/>
      <c r="E76" s="114"/>
      <c r="F76" s="114"/>
      <c r="G76" s="114"/>
      <c r="H76" s="114"/>
      <c r="I76" s="114"/>
      <c r="J76" s="114">
        <v>0.0</v>
      </c>
      <c r="K76" s="93"/>
      <c r="L76" s="187"/>
      <c r="M76" s="93"/>
      <c r="N76" s="230">
        <f t="shared" si="8"/>
        <v>0</v>
      </c>
      <c r="O76" s="229"/>
      <c r="P76" s="325"/>
    </row>
    <row r="77" ht="14.25" customHeight="1">
      <c r="B77" s="296"/>
      <c r="C77" s="360" t="s">
        <v>457</v>
      </c>
      <c r="D77" s="62"/>
      <c r="E77" s="114"/>
      <c r="F77" s="114"/>
      <c r="G77" s="114"/>
      <c r="H77" s="114"/>
      <c r="I77" s="114"/>
      <c r="J77" s="361">
        <v>0.0</v>
      </c>
      <c r="K77" s="64"/>
      <c r="L77" s="230"/>
      <c r="M77" s="229"/>
      <c r="N77" s="230">
        <f t="shared" si="8"/>
        <v>0</v>
      </c>
      <c r="O77" s="229"/>
      <c r="P77" s="353"/>
    </row>
    <row r="78" ht="14.25" customHeight="1">
      <c r="B78" s="321" t="s">
        <v>459</v>
      </c>
      <c r="C78" s="322"/>
      <c r="D78" s="62"/>
      <c r="E78" s="114"/>
      <c r="F78" s="114"/>
      <c r="G78" s="114"/>
      <c r="H78" s="114"/>
      <c r="I78" s="114"/>
      <c r="J78" s="68"/>
      <c r="K78" s="64"/>
      <c r="L78" s="117"/>
      <c r="M78" s="64"/>
      <c r="N78" s="230" t="str">
        <f t="shared" si="8"/>
        <v/>
      </c>
      <c r="O78" s="232"/>
      <c r="P78" s="353"/>
    </row>
    <row r="79" ht="14.25" customHeight="1">
      <c r="B79" s="296"/>
      <c r="C79" s="296" t="s">
        <v>460</v>
      </c>
      <c r="D79" s="62"/>
      <c r="E79" s="114" t="s">
        <v>368</v>
      </c>
      <c r="F79" s="64">
        <v>5502.0</v>
      </c>
      <c r="G79" s="83">
        <v>12838.0</v>
      </c>
      <c r="H79" s="64"/>
      <c r="I79" s="64">
        <v>18340.0</v>
      </c>
      <c r="J79" s="64">
        <f>sum(J80:J84)</f>
        <v>359</v>
      </c>
      <c r="K79" s="362">
        <f>sum(K80:K83)</f>
        <v>6426</v>
      </c>
      <c r="L79" s="187"/>
      <c r="M79" s="93"/>
      <c r="N79" s="230">
        <f t="shared" ref="N79:N80" si="9">sum(J79:M79)</f>
        <v>6785</v>
      </c>
      <c r="O79" s="229">
        <f>N79-I79</f>
        <v>-11555</v>
      </c>
      <c r="P79" s="277"/>
    </row>
    <row r="80" ht="14.25" customHeight="1">
      <c r="B80" s="296"/>
      <c r="C80" s="296" t="s">
        <v>454</v>
      </c>
      <c r="D80" s="62"/>
      <c r="E80" s="363"/>
      <c r="F80" s="363"/>
      <c r="G80" s="363"/>
      <c r="H80" s="363"/>
      <c r="I80" s="363"/>
      <c r="J80" s="361">
        <v>359.0</v>
      </c>
      <c r="K80" s="364">
        <v>6426.0</v>
      </c>
      <c r="L80" s="117"/>
      <c r="M80" s="64"/>
      <c r="N80" s="230">
        <f t="shared" si="9"/>
        <v>6785</v>
      </c>
      <c r="O80" s="64"/>
      <c r="P80" s="277"/>
    </row>
    <row r="81" ht="14.25" customHeight="1">
      <c r="B81" s="296"/>
      <c r="C81" s="296" t="s">
        <v>455</v>
      </c>
      <c r="D81" s="62"/>
      <c r="E81" s="275"/>
      <c r="F81" s="276"/>
      <c r="G81" s="275"/>
      <c r="H81" s="276"/>
      <c r="I81" s="287"/>
      <c r="J81" s="68">
        <v>0.0</v>
      </c>
      <c r="K81" s="64"/>
      <c r="L81" s="117"/>
      <c r="M81" s="64"/>
      <c r="N81" s="230">
        <f t="shared" ref="N81:N84" si="10">J81</f>
        <v>0</v>
      </c>
      <c r="O81" s="64"/>
      <c r="P81" s="277"/>
    </row>
    <row r="82" ht="14.25" customHeight="1">
      <c r="B82" s="296"/>
      <c r="C82" s="296" t="s">
        <v>456</v>
      </c>
      <c r="D82" s="62"/>
      <c r="E82" s="275"/>
      <c r="F82" s="276"/>
      <c r="G82" s="275"/>
      <c r="H82" s="276"/>
      <c r="I82" s="287"/>
      <c r="J82" s="68">
        <v>0.0</v>
      </c>
      <c r="K82" s="64"/>
      <c r="L82" s="117"/>
      <c r="M82" s="64"/>
      <c r="N82" s="230">
        <f t="shared" si="10"/>
        <v>0</v>
      </c>
      <c r="O82" s="64"/>
      <c r="P82" s="277"/>
    </row>
    <row r="83" ht="14.25" customHeight="1">
      <c r="B83" s="296"/>
      <c r="C83" s="296" t="s">
        <v>461</v>
      </c>
      <c r="D83" s="62"/>
      <c r="E83" s="275"/>
      <c r="F83" s="276"/>
      <c r="G83" s="275"/>
      <c r="H83" s="276"/>
      <c r="I83" s="287"/>
      <c r="J83" s="68">
        <v>0.0</v>
      </c>
      <c r="K83" s="64"/>
      <c r="L83" s="68"/>
      <c r="M83" s="64"/>
      <c r="N83" s="230">
        <f t="shared" si="10"/>
        <v>0</v>
      </c>
      <c r="O83" s="64"/>
      <c r="P83" s="277"/>
    </row>
    <row r="84" ht="14.25" customHeight="1">
      <c r="B84" s="296"/>
      <c r="C84" s="296" t="s">
        <v>462</v>
      </c>
      <c r="D84" s="62"/>
      <c r="E84" s="275"/>
      <c r="F84" s="276"/>
      <c r="G84" s="275"/>
      <c r="H84" s="276"/>
      <c r="I84" s="287"/>
      <c r="J84" s="68">
        <v>0.0</v>
      </c>
      <c r="K84" s="64"/>
      <c r="L84" s="68"/>
      <c r="M84" s="64"/>
      <c r="N84" s="230">
        <f t="shared" si="10"/>
        <v>0</v>
      </c>
      <c r="O84" s="64"/>
      <c r="P84" s="277"/>
    </row>
    <row r="85" ht="14.25" customHeight="1">
      <c r="B85" s="296"/>
      <c r="C85" s="296" t="s">
        <v>463</v>
      </c>
      <c r="D85" s="62"/>
      <c r="E85" s="275"/>
      <c r="F85" s="276"/>
      <c r="G85" s="275"/>
      <c r="H85" s="276"/>
      <c r="I85" s="287"/>
      <c r="J85" s="361">
        <v>359.0</v>
      </c>
      <c r="K85" s="364">
        <v>6426.0</v>
      </c>
      <c r="L85" s="68"/>
      <c r="M85" s="64"/>
      <c r="N85" s="230">
        <f>sum(J85:M85)</f>
        <v>6785</v>
      </c>
      <c r="O85" s="64"/>
      <c r="P85" s="277"/>
    </row>
    <row r="86" ht="14.25" customHeight="1">
      <c r="B86" s="296"/>
      <c r="C86" s="296" t="s">
        <v>464</v>
      </c>
      <c r="D86" s="62"/>
      <c r="E86" s="275"/>
      <c r="F86" s="276"/>
      <c r="G86" s="275"/>
      <c r="H86" s="275"/>
      <c r="I86" s="163"/>
      <c r="J86" s="92">
        <v>0.0</v>
      </c>
      <c r="K86" s="92"/>
      <c r="L86" s="92"/>
      <c r="M86" s="92"/>
      <c r="N86" s="230">
        <f t="shared" ref="N86:N91" si="11">J86</f>
        <v>0</v>
      </c>
      <c r="O86" s="92"/>
      <c r="P86" s="277"/>
    </row>
    <row r="87" ht="14.25" customHeight="1">
      <c r="B87" s="365"/>
      <c r="C87" s="365"/>
      <c r="D87" s="62"/>
      <c r="E87" s="275"/>
      <c r="F87" s="276"/>
      <c r="G87" s="275"/>
      <c r="H87" s="275"/>
      <c r="I87" s="149"/>
      <c r="J87" s="64"/>
      <c r="K87" s="64"/>
      <c r="L87" s="64"/>
      <c r="M87" s="64"/>
      <c r="N87" s="230" t="str">
        <f t="shared" si="11"/>
        <v/>
      </c>
      <c r="O87" s="64"/>
      <c r="P87" s="277"/>
    </row>
    <row r="88" ht="14.25" customHeight="1">
      <c r="B88" s="366" t="s">
        <v>84</v>
      </c>
      <c r="C88" s="367"/>
      <c r="D88" s="62"/>
      <c r="E88" s="275"/>
      <c r="F88" s="276"/>
      <c r="G88" s="275"/>
      <c r="H88" s="275"/>
      <c r="I88" s="149"/>
      <c r="J88" s="64"/>
      <c r="K88" s="64"/>
      <c r="L88" s="64"/>
      <c r="M88" s="64"/>
      <c r="N88" s="230" t="str">
        <f t="shared" si="11"/>
        <v/>
      </c>
      <c r="O88" s="64"/>
      <c r="P88" s="277"/>
    </row>
    <row r="89" ht="14.25" customHeight="1">
      <c r="B89" s="332" t="s">
        <v>465</v>
      </c>
      <c r="C89" s="333"/>
      <c r="D89" s="62"/>
      <c r="E89" s="278"/>
      <c r="F89" s="279"/>
      <c r="G89" s="278"/>
      <c r="H89" s="278"/>
      <c r="I89" s="101"/>
      <c r="J89" s="64"/>
      <c r="K89" s="64"/>
      <c r="L89" s="64"/>
      <c r="M89" s="64"/>
      <c r="N89" s="230" t="str">
        <f t="shared" si="11"/>
        <v/>
      </c>
      <c r="O89" s="83">
        <f t="shared" ref="O89:O91" si="12">N89-I89</f>
        <v>0</v>
      </c>
      <c r="P89" s="277"/>
    </row>
    <row r="90" ht="14.25" customHeight="1">
      <c r="B90" s="321" t="s">
        <v>466</v>
      </c>
      <c r="C90" s="322"/>
      <c r="D90" s="62"/>
      <c r="E90" s="278"/>
      <c r="F90" s="279"/>
      <c r="G90" s="278"/>
      <c r="H90" s="278"/>
      <c r="I90" s="101"/>
      <c r="J90" s="64"/>
      <c r="K90" s="64"/>
      <c r="L90" s="64"/>
      <c r="M90" s="64"/>
      <c r="N90" s="230" t="str">
        <f t="shared" si="11"/>
        <v/>
      </c>
      <c r="O90" s="83">
        <f t="shared" si="12"/>
        <v>0</v>
      </c>
      <c r="P90" s="277"/>
    </row>
    <row r="91" ht="14.25" customHeight="1">
      <c r="B91" s="300">
        <v>1.0</v>
      </c>
      <c r="C91" s="368" t="s">
        <v>467</v>
      </c>
      <c r="D91" s="62"/>
      <c r="E91" s="114">
        <v>0.3</v>
      </c>
      <c r="F91" s="115">
        <v>0.3</v>
      </c>
      <c r="G91" s="114">
        <v>0.3</v>
      </c>
      <c r="H91" s="114">
        <v>0.3</v>
      </c>
      <c r="I91" s="163">
        <v>0.3</v>
      </c>
      <c r="J91" s="64">
        <v>0.0</v>
      </c>
      <c r="K91" s="64"/>
      <c r="L91" s="64"/>
      <c r="M91" s="64"/>
      <c r="N91" s="230">
        <f t="shared" si="11"/>
        <v>0</v>
      </c>
      <c r="O91" s="83">
        <f t="shared" si="12"/>
        <v>-0.3</v>
      </c>
      <c r="P91" s="277"/>
    </row>
    <row r="92" ht="14.25" customHeight="1">
      <c r="B92" s="299"/>
      <c r="C92" s="369" t="s">
        <v>468</v>
      </c>
      <c r="D92" s="62"/>
      <c r="E92" s="64"/>
      <c r="F92" s="68"/>
      <c r="G92" s="64"/>
      <c r="H92" s="68"/>
      <c r="I92" s="101"/>
      <c r="J92" s="68">
        <v>68.0</v>
      </c>
      <c r="K92" s="364">
        <v>49.0</v>
      </c>
      <c r="L92" s="68"/>
      <c r="M92" s="64"/>
      <c r="N92" s="230">
        <f t="shared" ref="N92:N98" si="13">sum(J92:M92)</f>
        <v>117</v>
      </c>
      <c r="O92" s="83"/>
      <c r="P92" s="277"/>
    </row>
    <row r="93" ht="14.25" customHeight="1">
      <c r="B93" s="299"/>
      <c r="C93" s="370" t="s">
        <v>469</v>
      </c>
      <c r="D93" s="62"/>
      <c r="E93" s="64"/>
      <c r="F93" s="68"/>
      <c r="G93" s="64"/>
      <c r="H93" s="68"/>
      <c r="I93" s="101"/>
      <c r="J93" s="68">
        <v>68.0</v>
      </c>
      <c r="K93" s="364">
        <v>54.0</v>
      </c>
      <c r="L93" s="68"/>
      <c r="M93" s="64"/>
      <c r="N93" s="230">
        <f t="shared" si="13"/>
        <v>122</v>
      </c>
      <c r="O93" s="83"/>
      <c r="P93" s="277"/>
    </row>
    <row r="94" ht="14.25" customHeight="1">
      <c r="B94" s="299"/>
      <c r="C94" s="296" t="s">
        <v>470</v>
      </c>
      <c r="D94" s="62"/>
      <c r="E94" s="63"/>
      <c r="F94" s="62"/>
      <c r="G94" s="63"/>
      <c r="H94" s="62"/>
      <c r="I94" s="149"/>
      <c r="J94" s="68">
        <v>13.0</v>
      </c>
      <c r="K94" s="364">
        <v>6.0</v>
      </c>
      <c r="L94" s="68"/>
      <c r="M94" s="64"/>
      <c r="N94" s="230">
        <f t="shared" si="13"/>
        <v>19</v>
      </c>
      <c r="O94" s="64"/>
      <c r="P94" s="277"/>
    </row>
    <row r="95" ht="14.25" customHeight="1">
      <c r="B95" s="299"/>
      <c r="C95" s="296" t="s">
        <v>471</v>
      </c>
      <c r="D95" s="62"/>
      <c r="E95" s="63"/>
      <c r="F95" s="62"/>
      <c r="G95" s="63"/>
      <c r="H95" s="62"/>
      <c r="I95" s="149"/>
      <c r="J95" s="68">
        <v>15.0</v>
      </c>
      <c r="K95" s="364">
        <v>11.0</v>
      </c>
      <c r="L95" s="68"/>
      <c r="M95" s="64"/>
      <c r="N95" s="230">
        <f t="shared" si="13"/>
        <v>26</v>
      </c>
      <c r="O95" s="64"/>
      <c r="P95" s="277"/>
    </row>
    <row r="96" ht="14.25" customHeight="1">
      <c r="B96" s="299"/>
      <c r="C96" s="296" t="s">
        <v>472</v>
      </c>
      <c r="D96" s="62"/>
      <c r="E96" s="63"/>
      <c r="F96" s="62"/>
      <c r="G96" s="63"/>
      <c r="H96" s="62"/>
      <c r="I96" s="101"/>
      <c r="J96" s="371">
        <v>23.0</v>
      </c>
      <c r="K96" s="372">
        <v>22.0</v>
      </c>
      <c r="L96" s="162"/>
      <c r="M96" s="162"/>
      <c r="N96" s="230">
        <f t="shared" si="13"/>
        <v>45</v>
      </c>
      <c r="O96" s="158"/>
      <c r="P96" s="277"/>
    </row>
    <row r="97" ht="14.25" customHeight="1">
      <c r="B97" s="299"/>
      <c r="C97" s="296" t="s">
        <v>473</v>
      </c>
      <c r="D97" s="62"/>
      <c r="E97" s="63"/>
      <c r="F97" s="62"/>
      <c r="G97" s="63"/>
      <c r="H97" s="62"/>
      <c r="I97" s="101"/>
      <c r="J97" s="373">
        <v>6.0</v>
      </c>
      <c r="K97" s="372">
        <v>8.0</v>
      </c>
      <c r="L97" s="162"/>
      <c r="M97" s="162"/>
      <c r="N97" s="230">
        <f t="shared" si="13"/>
        <v>14</v>
      </c>
      <c r="O97" s="158"/>
      <c r="P97" s="277"/>
    </row>
    <row r="98" ht="14.25" customHeight="1">
      <c r="B98" s="299"/>
      <c r="C98" s="296" t="s">
        <v>474</v>
      </c>
      <c r="D98" s="62"/>
      <c r="E98" s="63"/>
      <c r="F98" s="62"/>
      <c r="G98" s="63"/>
      <c r="H98" s="62"/>
      <c r="I98" s="101"/>
      <c r="J98" s="371">
        <v>11.0</v>
      </c>
      <c r="K98" s="372">
        <v>6.0</v>
      </c>
      <c r="L98" s="162"/>
      <c r="M98" s="162"/>
      <c r="N98" s="230">
        <f t="shared" si="13"/>
        <v>17</v>
      </c>
      <c r="O98" s="158"/>
      <c r="P98" s="277"/>
    </row>
    <row r="99" ht="14.25" customHeight="1">
      <c r="B99" s="321" t="s">
        <v>423</v>
      </c>
      <c r="C99" s="322"/>
      <c r="D99" s="62"/>
      <c r="E99" s="63"/>
      <c r="F99" s="62"/>
      <c r="G99" s="63"/>
      <c r="H99" s="62"/>
      <c r="I99" s="101"/>
      <c r="J99" s="371">
        <v>0.0</v>
      </c>
      <c r="K99" s="371"/>
      <c r="L99" s="162"/>
      <c r="M99" s="162"/>
      <c r="N99" s="230">
        <f>J99</f>
        <v>0</v>
      </c>
      <c r="O99" s="158"/>
      <c r="P99" s="277"/>
    </row>
    <row r="100" ht="14.25" customHeight="1">
      <c r="B100" s="300">
        <v>1.1</v>
      </c>
      <c r="C100" s="300" t="s">
        <v>475</v>
      </c>
      <c r="D100" s="62"/>
      <c r="E100" s="63">
        <v>111.0</v>
      </c>
      <c r="F100" s="62">
        <v>114.0</v>
      </c>
      <c r="G100" s="63">
        <v>111.0</v>
      </c>
      <c r="H100" s="62">
        <v>111.0</v>
      </c>
      <c r="I100" s="101">
        <v>447.0</v>
      </c>
      <c r="J100" s="374">
        <v>331.0</v>
      </c>
      <c r="K100" s="375">
        <v>26.0</v>
      </c>
      <c r="L100" s="162"/>
      <c r="M100" s="162"/>
      <c r="N100" s="230">
        <f t="shared" ref="N100:N106" si="14">sum(J100:M100)</f>
        <v>357</v>
      </c>
      <c r="O100" s="158"/>
      <c r="P100" s="277"/>
    </row>
    <row r="101" ht="14.25" customHeight="1">
      <c r="B101" s="299"/>
      <c r="C101" s="370" t="s">
        <v>469</v>
      </c>
      <c r="D101" s="62"/>
      <c r="E101" s="63"/>
      <c r="F101" s="62"/>
      <c r="G101" s="63"/>
      <c r="H101" s="62"/>
      <c r="I101" s="149"/>
      <c r="J101" s="230">
        <v>331.0</v>
      </c>
      <c r="K101" s="314">
        <v>26.0</v>
      </c>
      <c r="L101" s="162"/>
      <c r="M101" s="229"/>
      <c r="N101" s="230">
        <f t="shared" si="14"/>
        <v>357</v>
      </c>
      <c r="O101" s="64"/>
      <c r="P101" s="277"/>
    </row>
    <row r="102" ht="14.25" customHeight="1">
      <c r="B102" s="299"/>
      <c r="C102" s="296" t="s">
        <v>470</v>
      </c>
      <c r="D102" s="62"/>
      <c r="E102" s="63"/>
      <c r="F102" s="62"/>
      <c r="G102" s="63"/>
      <c r="H102" s="62"/>
      <c r="I102" s="101"/>
      <c r="J102" s="371">
        <v>50.0</v>
      </c>
      <c r="K102" s="372">
        <v>3.0</v>
      </c>
      <c r="L102" s="162"/>
      <c r="M102" s="162"/>
      <c r="N102" s="230">
        <f t="shared" si="14"/>
        <v>53</v>
      </c>
      <c r="O102" s="64"/>
      <c r="P102" s="277"/>
    </row>
    <row r="103" ht="14.25" customHeight="1">
      <c r="B103" s="299"/>
      <c r="C103" s="296" t="s">
        <v>471</v>
      </c>
      <c r="D103" s="62"/>
      <c r="E103" s="63"/>
      <c r="F103" s="62"/>
      <c r="G103" s="63"/>
      <c r="H103" s="62"/>
      <c r="I103" s="101"/>
      <c r="J103" s="373">
        <v>72.0</v>
      </c>
      <c r="K103" s="372">
        <v>6.0</v>
      </c>
      <c r="L103" s="162"/>
      <c r="M103" s="162"/>
      <c r="N103" s="230">
        <f t="shared" si="14"/>
        <v>78</v>
      </c>
      <c r="O103" s="64"/>
      <c r="P103" s="277"/>
    </row>
    <row r="104" ht="14.25" customHeight="1">
      <c r="B104" s="299"/>
      <c r="C104" s="296" t="s">
        <v>472</v>
      </c>
      <c r="D104" s="62"/>
      <c r="E104" s="63"/>
      <c r="F104" s="62"/>
      <c r="G104" s="63"/>
      <c r="H104" s="62"/>
      <c r="I104" s="101"/>
      <c r="J104" s="371">
        <v>106.0</v>
      </c>
      <c r="K104" s="372">
        <v>13.0</v>
      </c>
      <c r="L104" s="162"/>
      <c r="M104" s="162"/>
      <c r="N104" s="230">
        <f t="shared" si="14"/>
        <v>119</v>
      </c>
      <c r="O104" s="64"/>
      <c r="P104" s="277"/>
    </row>
    <row r="105" ht="14.25" customHeight="1">
      <c r="B105" s="299"/>
      <c r="C105" s="296" t="s">
        <v>473</v>
      </c>
      <c r="D105" s="62"/>
      <c r="E105" s="63"/>
      <c r="F105" s="62"/>
      <c r="G105" s="63"/>
      <c r="H105" s="62"/>
      <c r="I105" s="101"/>
      <c r="J105" s="161">
        <v>48.0</v>
      </c>
      <c r="K105" s="372">
        <v>0.0</v>
      </c>
      <c r="L105" s="162"/>
      <c r="M105" s="162"/>
      <c r="N105" s="230">
        <f t="shared" si="14"/>
        <v>48</v>
      </c>
      <c r="O105" s="64"/>
      <c r="P105" s="277"/>
    </row>
    <row r="106" ht="14.25" customHeight="1">
      <c r="B106" s="299"/>
      <c r="C106" s="296" t="s">
        <v>474</v>
      </c>
      <c r="D106" s="62"/>
      <c r="E106" s="164"/>
      <c r="F106" s="164"/>
      <c r="G106" s="164"/>
      <c r="H106" s="164"/>
      <c r="I106" s="164"/>
      <c r="J106" s="220">
        <v>55.0</v>
      </c>
      <c r="K106" s="376">
        <v>4.0</v>
      </c>
      <c r="L106" s="377"/>
      <c r="M106" s="377"/>
      <c r="N106" s="230">
        <f t="shared" si="14"/>
        <v>59</v>
      </c>
      <c r="O106" s="114"/>
      <c r="P106" s="277"/>
    </row>
    <row r="107" ht="14.25" customHeight="1">
      <c r="B107" s="299"/>
      <c r="C107" s="368" t="s">
        <v>476</v>
      </c>
      <c r="D107" s="62"/>
      <c r="E107" s="63"/>
      <c r="F107" s="62"/>
      <c r="G107" s="63"/>
      <c r="H107" s="62"/>
      <c r="I107" s="149"/>
      <c r="J107" s="378">
        <v>1.0</v>
      </c>
      <c r="K107" s="379">
        <v>1.0</v>
      </c>
      <c r="L107" s="160"/>
      <c r="M107" s="64"/>
      <c r="N107" s="380">
        <v>1.0</v>
      </c>
      <c r="O107" s="64"/>
      <c r="P107" s="277"/>
    </row>
    <row r="108" ht="14.25" customHeight="1">
      <c r="B108" s="300">
        <v>1.2</v>
      </c>
      <c r="C108" s="369" t="s">
        <v>477</v>
      </c>
      <c r="D108" s="62"/>
      <c r="E108" s="63" t="s">
        <v>478</v>
      </c>
      <c r="F108" s="62" t="s">
        <v>478</v>
      </c>
      <c r="G108" s="63" t="s">
        <v>478</v>
      </c>
      <c r="H108" s="62" t="s">
        <v>478</v>
      </c>
      <c r="I108" s="149" t="s">
        <v>478</v>
      </c>
      <c r="J108" s="68">
        <v>5.0</v>
      </c>
      <c r="K108" s="364">
        <v>5.0</v>
      </c>
      <c r="L108" s="68"/>
      <c r="M108" s="64"/>
      <c r="N108" s="230">
        <f t="shared" ref="N108:N110" si="15">J108</f>
        <v>5</v>
      </c>
      <c r="O108" s="64"/>
      <c r="P108" s="277"/>
    </row>
    <row r="109" ht="41.25" customHeight="1">
      <c r="B109" s="284" t="s">
        <v>479</v>
      </c>
      <c r="C109" s="333"/>
      <c r="D109" s="62"/>
      <c r="E109" s="241"/>
      <c r="F109" s="241"/>
      <c r="G109" s="241"/>
      <c r="H109" s="241"/>
      <c r="I109" s="381"/>
      <c r="J109" s="92"/>
      <c r="K109" s="92"/>
      <c r="L109" s="92"/>
      <c r="M109" s="92"/>
      <c r="N109" s="230" t="str">
        <f t="shared" si="15"/>
        <v/>
      </c>
      <c r="O109" s="64"/>
      <c r="P109" s="235"/>
    </row>
    <row r="110" ht="15.0" customHeight="1">
      <c r="B110" s="288" t="s">
        <v>466</v>
      </c>
      <c r="C110" s="382"/>
      <c r="D110" s="62"/>
      <c r="E110" s="320"/>
      <c r="F110" s="383"/>
      <c r="G110" s="383"/>
      <c r="H110" s="383"/>
      <c r="I110" s="383"/>
      <c r="J110" s="64"/>
      <c r="K110" s="170"/>
      <c r="L110" s="64"/>
      <c r="M110" s="64"/>
      <c r="N110" s="230" t="str">
        <f t="shared" si="15"/>
        <v/>
      </c>
      <c r="O110" s="92"/>
      <c r="P110" s="295"/>
    </row>
    <row r="111" ht="15.0" customHeight="1">
      <c r="B111" s="299">
        <v>2.0</v>
      </c>
      <c r="C111" s="349" t="s">
        <v>480</v>
      </c>
      <c r="D111" s="62"/>
      <c r="E111" s="320"/>
      <c r="F111" s="383"/>
      <c r="G111" s="383"/>
      <c r="H111" s="383"/>
      <c r="I111" s="383"/>
      <c r="J111" s="64" t="e">
        <v>#DIV/0!</v>
      </c>
      <c r="K111" s="384">
        <v>0.9163</v>
      </c>
      <c r="L111" s="64"/>
      <c r="M111" s="64"/>
      <c r="N111" s="380">
        <v>0.9163</v>
      </c>
      <c r="O111" s="92"/>
      <c r="P111" s="40"/>
    </row>
    <row r="112" ht="31.5" customHeight="1">
      <c r="B112" s="299"/>
      <c r="C112" s="350" t="s">
        <v>481</v>
      </c>
      <c r="D112" s="62"/>
      <c r="E112" s="385"/>
      <c r="F112" s="385"/>
      <c r="G112" s="275"/>
      <c r="H112" s="275"/>
      <c r="I112" s="383"/>
      <c r="J112" s="92">
        <v>0.0</v>
      </c>
      <c r="K112" s="331">
        <v>5661.0</v>
      </c>
      <c r="L112" s="92"/>
      <c r="M112" s="92"/>
      <c r="N112" s="358">
        <v>5661.0</v>
      </c>
      <c r="O112" s="92"/>
      <c r="P112" s="90"/>
    </row>
    <row r="113" ht="15.0" customHeight="1">
      <c r="B113" s="299"/>
      <c r="C113" s="350" t="s">
        <v>482</v>
      </c>
      <c r="D113" s="62"/>
      <c r="E113" s="275"/>
      <c r="F113" s="275"/>
      <c r="G113" s="275"/>
      <c r="H113" s="275"/>
      <c r="I113" s="275"/>
      <c r="J113" s="92">
        <v>0.0</v>
      </c>
      <c r="K113" s="331">
        <v>6178.0</v>
      </c>
      <c r="L113" s="64"/>
      <c r="M113" s="64"/>
      <c r="N113" s="358">
        <v>6178.0</v>
      </c>
      <c r="O113" s="64"/>
      <c r="P113" s="275"/>
    </row>
    <row r="114" ht="15.0" customHeight="1">
      <c r="B114" s="288" t="s">
        <v>423</v>
      </c>
      <c r="C114" s="386"/>
      <c r="D114" s="62"/>
      <c r="E114" s="387"/>
      <c r="F114" s="388"/>
      <c r="G114" s="388"/>
      <c r="H114" s="388"/>
      <c r="I114" s="388"/>
      <c r="J114" s="98"/>
      <c r="K114" s="98"/>
      <c r="L114" s="98"/>
      <c r="M114" s="98"/>
      <c r="N114" s="230" t="str">
        <f t="shared" ref="N114:N122" si="16">J114</f>
        <v/>
      </c>
      <c r="O114" s="98"/>
      <c r="P114" s="287"/>
    </row>
    <row r="115" ht="14.25" customHeight="1">
      <c r="A115" s="105"/>
      <c r="B115" s="389"/>
      <c r="C115" s="327" t="s">
        <v>483</v>
      </c>
      <c r="D115" s="108"/>
      <c r="E115" s="98"/>
      <c r="F115" s="98"/>
      <c r="G115" s="98"/>
      <c r="H115" s="169">
        <v>0.7</v>
      </c>
      <c r="I115" s="169">
        <v>0.7</v>
      </c>
      <c r="J115" s="98">
        <v>153514.0</v>
      </c>
      <c r="K115" s="98"/>
      <c r="L115" s="98"/>
      <c r="M115" s="98"/>
      <c r="N115" s="230">
        <f t="shared" si="16"/>
        <v>153514</v>
      </c>
      <c r="O115" s="98">
        <v>0.0</v>
      </c>
      <c r="P115" s="320"/>
      <c r="Q115" s="105"/>
      <c r="R115" s="105"/>
      <c r="S115" s="105"/>
      <c r="T115" s="105"/>
      <c r="U115" s="105"/>
      <c r="V115" s="105"/>
      <c r="W115" s="105"/>
      <c r="X115" s="105"/>
      <c r="Y115" s="105"/>
      <c r="Z115" s="105"/>
    </row>
    <row r="116" ht="14.25" customHeight="1">
      <c r="A116" s="105"/>
      <c r="B116" s="300"/>
      <c r="C116" s="296" t="s">
        <v>484</v>
      </c>
      <c r="D116" s="108"/>
      <c r="E116" s="388"/>
      <c r="F116" s="388"/>
      <c r="G116" s="388"/>
      <c r="H116" s="388"/>
      <c r="I116" s="98"/>
      <c r="J116" s="98">
        <v>0.0</v>
      </c>
      <c r="K116" s="139"/>
      <c r="L116" s="98"/>
      <c r="M116" s="98"/>
      <c r="N116" s="230">
        <f t="shared" si="16"/>
        <v>0</v>
      </c>
      <c r="O116" s="98">
        <v>0.0</v>
      </c>
      <c r="P116" s="320"/>
      <c r="Q116" s="105"/>
      <c r="R116" s="105"/>
      <c r="S116" s="105"/>
      <c r="T116" s="105"/>
      <c r="U116" s="105"/>
      <c r="V116" s="105"/>
      <c r="W116" s="105"/>
      <c r="X116" s="105"/>
      <c r="Y116" s="105"/>
      <c r="Z116" s="105"/>
    </row>
    <row r="117" ht="15.0" customHeight="1">
      <c r="B117" s="390"/>
      <c r="C117" s="390" t="s">
        <v>485</v>
      </c>
      <c r="D117" s="62"/>
      <c r="E117" s="275"/>
      <c r="F117" s="275"/>
      <c r="G117" s="275"/>
      <c r="H117" s="275"/>
      <c r="I117" s="275"/>
      <c r="J117" s="64">
        <v>153514.0</v>
      </c>
      <c r="K117" s="64"/>
      <c r="L117" s="64"/>
      <c r="M117" s="64"/>
      <c r="N117" s="230">
        <f t="shared" si="16"/>
        <v>153514</v>
      </c>
      <c r="O117" s="64"/>
      <c r="P117" s="275"/>
    </row>
    <row r="118" ht="15.0" customHeight="1">
      <c r="B118" s="390"/>
      <c r="C118" s="390" t="s">
        <v>486</v>
      </c>
      <c r="D118" s="62"/>
      <c r="E118" s="275"/>
      <c r="F118" s="275"/>
      <c r="G118" s="275"/>
      <c r="H118" s="275"/>
      <c r="I118" s="275"/>
      <c r="J118" s="64">
        <v>0.0</v>
      </c>
      <c r="K118" s="64"/>
      <c r="L118" s="64"/>
      <c r="M118" s="64"/>
      <c r="N118" s="230">
        <f t="shared" si="16"/>
        <v>0</v>
      </c>
      <c r="O118" s="64"/>
      <c r="P118" s="391" t="s">
        <v>487</v>
      </c>
    </row>
    <row r="119" ht="14.25" customHeight="1">
      <c r="B119" s="284" t="s">
        <v>488</v>
      </c>
      <c r="C119" s="392"/>
      <c r="D119" s="62"/>
      <c r="E119" s="393" t="s">
        <v>368</v>
      </c>
      <c r="F119" s="180"/>
      <c r="G119" s="180"/>
      <c r="H119" s="180" t="s">
        <v>368</v>
      </c>
      <c r="I119" s="180"/>
      <c r="J119" s="114"/>
      <c r="K119" s="114"/>
      <c r="L119" s="114"/>
      <c r="M119" s="114"/>
      <c r="N119" s="230" t="str">
        <f t="shared" si="16"/>
        <v/>
      </c>
      <c r="O119" s="114"/>
      <c r="P119" s="320"/>
    </row>
    <row r="120" ht="14.25" customHeight="1">
      <c r="B120" s="288" t="s">
        <v>466</v>
      </c>
      <c r="C120" s="394"/>
      <c r="D120" s="62"/>
      <c r="E120" s="63"/>
      <c r="F120" s="63"/>
      <c r="G120" s="63"/>
      <c r="H120" s="63"/>
      <c r="I120" s="63"/>
      <c r="J120" s="64"/>
      <c r="K120" s="64"/>
      <c r="L120" s="64"/>
      <c r="M120" s="64"/>
      <c r="N120" s="230" t="str">
        <f t="shared" si="16"/>
        <v/>
      </c>
      <c r="O120" s="64"/>
      <c r="P120" s="395"/>
    </row>
    <row r="121" ht="14.25" customHeight="1">
      <c r="A121" s="105"/>
      <c r="B121" s="396"/>
      <c r="C121" s="397" t="s">
        <v>489</v>
      </c>
      <c r="D121" s="108"/>
      <c r="E121" s="98"/>
      <c r="F121" s="98"/>
      <c r="G121" s="98"/>
      <c r="H121" s="98"/>
      <c r="I121" s="98"/>
      <c r="J121" s="98">
        <v>0.0</v>
      </c>
      <c r="K121" s="98"/>
      <c r="L121" s="98"/>
      <c r="M121" s="98"/>
      <c r="N121" s="230">
        <f t="shared" si="16"/>
        <v>0</v>
      </c>
      <c r="O121" s="98">
        <f t="shared" ref="O121:O122" si="17">N121-I121</f>
        <v>0</v>
      </c>
      <c r="P121" s="101"/>
      <c r="Q121" s="105"/>
      <c r="R121" s="105"/>
      <c r="S121" s="105"/>
      <c r="T121" s="105"/>
      <c r="U121" s="105"/>
      <c r="V121" s="105"/>
      <c r="W121" s="105"/>
      <c r="X121" s="105"/>
      <c r="Y121" s="105"/>
      <c r="Z121" s="105"/>
    </row>
    <row r="122" ht="14.25" customHeight="1">
      <c r="B122" s="396"/>
      <c r="C122" s="369" t="s">
        <v>490</v>
      </c>
      <c r="D122" s="62"/>
      <c r="E122" s="63"/>
      <c r="F122" s="62"/>
      <c r="G122" s="63" t="s">
        <v>368</v>
      </c>
      <c r="H122" s="62"/>
      <c r="I122" s="139">
        <v>0.0</v>
      </c>
      <c r="J122" s="140">
        <v>0.0</v>
      </c>
      <c r="K122" s="139"/>
      <c r="L122" s="140"/>
      <c r="M122" s="139"/>
      <c r="N122" s="230">
        <f t="shared" si="16"/>
        <v>0</v>
      </c>
      <c r="O122" s="98">
        <f t="shared" si="17"/>
        <v>0</v>
      </c>
      <c r="P122" s="325"/>
    </row>
    <row r="123" ht="14.25" customHeight="1">
      <c r="B123" s="396"/>
      <c r="C123" s="398" t="s">
        <v>491</v>
      </c>
      <c r="D123" s="62"/>
      <c r="E123" s="275"/>
      <c r="F123" s="276"/>
      <c r="G123" s="275"/>
      <c r="H123" s="276"/>
      <c r="I123" s="275"/>
      <c r="J123" s="68">
        <v>0.0</v>
      </c>
      <c r="K123" s="331">
        <v>215940.0</v>
      </c>
      <c r="L123" s="68"/>
      <c r="M123" s="64"/>
      <c r="N123" s="331">
        <v>215940.0</v>
      </c>
      <c r="O123" s="64"/>
      <c r="P123" s="277"/>
    </row>
    <row r="124" ht="14.25" customHeight="1">
      <c r="B124" s="396"/>
      <c r="C124" s="398" t="s">
        <v>492</v>
      </c>
      <c r="D124" s="62"/>
      <c r="E124" s="278"/>
      <c r="F124" s="279"/>
      <c r="G124" s="278"/>
      <c r="H124" s="279"/>
      <c r="I124" s="278"/>
      <c r="J124" s="68">
        <v>0.0</v>
      </c>
      <c r="K124" s="331">
        <v>181290.0</v>
      </c>
      <c r="L124" s="68"/>
      <c r="M124" s="64"/>
      <c r="N124" s="331">
        <v>181290.0</v>
      </c>
      <c r="O124" s="73"/>
      <c r="P124" s="277"/>
    </row>
    <row r="125" ht="14.25" customHeight="1">
      <c r="A125" s="105"/>
      <c r="B125" s="396"/>
      <c r="C125" s="398" t="s">
        <v>493</v>
      </c>
      <c r="D125" s="108"/>
      <c r="E125" s="399" t="s">
        <v>494</v>
      </c>
      <c r="F125" s="399" t="s">
        <v>494</v>
      </c>
      <c r="G125" s="399" t="s">
        <v>494</v>
      </c>
      <c r="H125" s="399">
        <v>0.8</v>
      </c>
      <c r="I125" s="399">
        <v>0.8</v>
      </c>
      <c r="J125" s="399">
        <v>0.0</v>
      </c>
      <c r="K125" s="400">
        <v>14449.0</v>
      </c>
      <c r="L125" s="401"/>
      <c r="M125" s="402"/>
      <c r="N125" s="400">
        <v>14449.0</v>
      </c>
      <c r="O125" s="169">
        <v>0.05</v>
      </c>
      <c r="P125" s="325"/>
      <c r="Q125" s="105"/>
      <c r="R125" s="105"/>
      <c r="S125" s="105"/>
      <c r="T125" s="105"/>
      <c r="U125" s="105"/>
      <c r="V125" s="105"/>
      <c r="W125" s="105"/>
      <c r="X125" s="105"/>
      <c r="Y125" s="105"/>
      <c r="Z125" s="105"/>
    </row>
    <row r="126" ht="14.25" customHeight="1">
      <c r="B126" s="288" t="s">
        <v>423</v>
      </c>
      <c r="C126" s="394"/>
      <c r="D126" s="62"/>
      <c r="E126" s="399"/>
      <c r="F126" s="399"/>
      <c r="G126" s="399"/>
      <c r="H126" s="399"/>
      <c r="I126" s="399"/>
      <c r="J126" s="403"/>
      <c r="K126" s="104"/>
      <c r="L126" s="404"/>
      <c r="M126" s="402"/>
      <c r="N126" s="230" t="str">
        <f t="shared" ref="N126:N130" si="18">J126</f>
        <v/>
      </c>
      <c r="O126" s="114">
        <v>0.05</v>
      </c>
      <c r="P126" s="325"/>
    </row>
    <row r="127" ht="14.25" customHeight="1">
      <c r="B127" s="405"/>
      <c r="C127" s="327" t="s">
        <v>495</v>
      </c>
      <c r="D127" s="62"/>
      <c r="E127" s="63"/>
      <c r="F127" s="62"/>
      <c r="G127" s="63"/>
      <c r="H127" s="62"/>
      <c r="I127" s="406">
        <v>231585.0</v>
      </c>
      <c r="J127" s="407">
        <v>231585.0</v>
      </c>
      <c r="K127" s="331">
        <v>222037.0</v>
      </c>
      <c r="L127" s="68"/>
      <c r="M127" s="64"/>
      <c r="N127" s="230">
        <f t="shared" si="18"/>
        <v>231585</v>
      </c>
      <c r="O127" s="64"/>
      <c r="P127" s="277"/>
    </row>
    <row r="128" ht="14.25" customHeight="1">
      <c r="B128" s="284" t="s">
        <v>496</v>
      </c>
      <c r="C128" s="392"/>
      <c r="D128" s="62"/>
      <c r="E128" s="63"/>
      <c r="F128" s="62"/>
      <c r="G128" s="63"/>
      <c r="H128" s="62"/>
      <c r="I128" s="408"/>
      <c r="J128" s="119"/>
      <c r="K128" s="119"/>
      <c r="L128" s="119"/>
      <c r="M128" s="119"/>
      <c r="N128" s="230" t="str">
        <f t="shared" si="18"/>
        <v/>
      </c>
      <c r="O128" s="190"/>
      <c r="P128" s="287"/>
    </row>
    <row r="129" ht="14.25" customHeight="1">
      <c r="B129" s="288" t="s">
        <v>466</v>
      </c>
      <c r="C129" s="394"/>
      <c r="D129" s="62"/>
      <c r="E129" s="63"/>
      <c r="F129" s="62"/>
      <c r="G129" s="63"/>
      <c r="H129" s="62"/>
      <c r="I129" s="408"/>
      <c r="J129" s="119"/>
      <c r="K129" s="83"/>
      <c r="L129" s="119"/>
      <c r="M129" s="83"/>
      <c r="N129" s="230" t="str">
        <f t="shared" si="18"/>
        <v/>
      </c>
      <c r="O129" s="190"/>
      <c r="P129" s="287"/>
    </row>
    <row r="130" ht="14.25" customHeight="1">
      <c r="B130" s="396"/>
      <c r="C130" s="330" t="s">
        <v>497</v>
      </c>
      <c r="D130" s="62"/>
      <c r="E130" s="63"/>
      <c r="F130" s="62"/>
      <c r="G130" s="63"/>
      <c r="H130" s="62"/>
      <c r="I130" s="408"/>
      <c r="J130" s="115">
        <v>1.0</v>
      </c>
      <c r="K130" s="114">
        <f>K131/K132</f>
        <v>0.992881137</v>
      </c>
      <c r="L130" s="115"/>
      <c r="M130" s="114"/>
      <c r="N130" s="115">
        <f t="shared" si="18"/>
        <v>1</v>
      </c>
      <c r="O130" s="117"/>
      <c r="P130" s="287"/>
    </row>
    <row r="131" ht="14.25" customHeight="1">
      <c r="B131" s="396"/>
      <c r="C131" s="308" t="s">
        <v>498</v>
      </c>
      <c r="D131" s="62"/>
      <c r="E131" s="63">
        <v>231585.0</v>
      </c>
      <c r="F131" s="62">
        <v>231585.0</v>
      </c>
      <c r="G131" s="63">
        <v>231585.0</v>
      </c>
      <c r="H131" s="62">
        <v>231585.0</v>
      </c>
      <c r="I131" s="408">
        <v>231585.0</v>
      </c>
      <c r="J131" s="119">
        <v>203180.0</v>
      </c>
      <c r="K131" s="331">
        <v>76849.0</v>
      </c>
      <c r="L131" s="119"/>
      <c r="M131" s="83"/>
      <c r="N131" s="230">
        <f t="shared" ref="N131:N132" si="19">sum(J131:M131)</f>
        <v>280029</v>
      </c>
      <c r="O131" s="117"/>
      <c r="P131" s="287"/>
    </row>
    <row r="132" ht="14.25" customHeight="1">
      <c r="B132" s="396"/>
      <c r="C132" s="308" t="s">
        <v>499</v>
      </c>
      <c r="D132" s="62"/>
      <c r="E132" s="63"/>
      <c r="F132" s="62"/>
      <c r="G132" s="63"/>
      <c r="H132" s="62"/>
      <c r="I132" s="408"/>
      <c r="J132" s="119">
        <v>203180.0</v>
      </c>
      <c r="K132" s="331">
        <v>77400.0</v>
      </c>
      <c r="L132" s="119"/>
      <c r="M132" s="83"/>
      <c r="N132" s="230">
        <f t="shared" si="19"/>
        <v>280580</v>
      </c>
      <c r="O132" s="117"/>
      <c r="P132" s="287"/>
    </row>
    <row r="133" ht="14.25" customHeight="1">
      <c r="B133" s="288" t="s">
        <v>423</v>
      </c>
      <c r="C133" s="394"/>
      <c r="D133" s="62"/>
      <c r="E133" s="63"/>
      <c r="F133" s="62"/>
      <c r="G133" s="63"/>
      <c r="H133" s="62"/>
      <c r="I133" s="408"/>
      <c r="J133" s="119"/>
      <c r="K133" s="83"/>
      <c r="L133" s="119"/>
      <c r="M133" s="83"/>
      <c r="N133" s="230" t="str">
        <f>J133</f>
        <v/>
      </c>
      <c r="O133" s="117"/>
      <c r="P133" s="287"/>
    </row>
    <row r="134" ht="14.25" customHeight="1">
      <c r="B134" s="396"/>
      <c r="C134" s="397" t="s">
        <v>500</v>
      </c>
      <c r="D134" s="62"/>
      <c r="E134" s="63">
        <v>161973.0</v>
      </c>
      <c r="F134" s="62">
        <v>88699.0</v>
      </c>
      <c r="G134" s="63">
        <v>69417.0</v>
      </c>
      <c r="H134" s="62">
        <v>65560.0</v>
      </c>
      <c r="I134" s="409">
        <v>385649.0</v>
      </c>
      <c r="J134" s="119">
        <v>412421.0</v>
      </c>
      <c r="K134" s="83"/>
      <c r="L134" s="119"/>
      <c r="M134" s="83"/>
      <c r="N134" s="230">
        <f t="shared" ref="N134:N155" si="20">sum(J134:M134)</f>
        <v>412421</v>
      </c>
      <c r="O134" s="117"/>
      <c r="P134" s="287"/>
    </row>
    <row r="135" ht="14.25" customHeight="1">
      <c r="B135" s="396"/>
      <c r="C135" s="410" t="s">
        <v>132</v>
      </c>
      <c r="D135" s="62"/>
      <c r="E135" s="64"/>
      <c r="F135" s="68"/>
      <c r="G135" s="64"/>
      <c r="H135" s="68"/>
      <c r="I135" s="408"/>
      <c r="J135" s="119">
        <v>206250.0</v>
      </c>
      <c r="K135" s="331">
        <v>154934.0</v>
      </c>
      <c r="L135" s="119"/>
      <c r="M135" s="83"/>
      <c r="N135" s="230">
        <f t="shared" si="20"/>
        <v>361184</v>
      </c>
      <c r="O135" s="117"/>
      <c r="P135" s="287"/>
    </row>
    <row r="136" ht="14.25" customHeight="1">
      <c r="B136" s="396"/>
      <c r="C136" s="330" t="s">
        <v>501</v>
      </c>
      <c r="D136" s="62"/>
      <c r="E136" s="64"/>
      <c r="F136" s="68"/>
      <c r="G136" s="64"/>
      <c r="H136" s="68"/>
      <c r="I136" s="408"/>
      <c r="J136" s="119">
        <v>8590.0</v>
      </c>
      <c r="K136" s="331">
        <v>8532.0</v>
      </c>
      <c r="L136" s="119"/>
      <c r="M136" s="83"/>
      <c r="N136" s="230">
        <f t="shared" si="20"/>
        <v>17122</v>
      </c>
      <c r="O136" s="117"/>
      <c r="P136" s="287"/>
    </row>
    <row r="137" ht="14.25" customHeight="1">
      <c r="B137" s="396"/>
      <c r="C137" s="330" t="s">
        <v>502</v>
      </c>
      <c r="D137" s="62"/>
      <c r="E137" s="64"/>
      <c r="F137" s="68"/>
      <c r="G137" s="64"/>
      <c r="H137" s="68"/>
      <c r="I137" s="408"/>
      <c r="J137" s="119">
        <v>34856.0</v>
      </c>
      <c r="K137" s="331">
        <v>13963.0</v>
      </c>
      <c r="L137" s="119"/>
      <c r="M137" s="83"/>
      <c r="N137" s="230">
        <f t="shared" si="20"/>
        <v>48819</v>
      </c>
      <c r="O137" s="117"/>
      <c r="P137" s="287"/>
    </row>
    <row r="138" ht="14.25" customHeight="1">
      <c r="B138" s="396"/>
      <c r="C138" s="330" t="s">
        <v>503</v>
      </c>
      <c r="D138" s="62"/>
      <c r="E138" s="64"/>
      <c r="F138" s="68"/>
      <c r="G138" s="64"/>
      <c r="H138" s="68"/>
      <c r="I138" s="408"/>
      <c r="J138" s="119">
        <v>34.0</v>
      </c>
      <c r="K138" s="331">
        <v>31.0</v>
      </c>
      <c r="L138" s="119"/>
      <c r="M138" s="83"/>
      <c r="N138" s="230">
        <f t="shared" si="20"/>
        <v>65</v>
      </c>
      <c r="O138" s="117"/>
      <c r="P138" s="275"/>
    </row>
    <row r="139" ht="14.25" customHeight="1">
      <c r="B139" s="396"/>
      <c r="C139" s="330" t="s">
        <v>504</v>
      </c>
      <c r="D139" s="62"/>
      <c r="E139" s="63"/>
      <c r="F139" s="62"/>
      <c r="G139" s="63"/>
      <c r="H139" s="62"/>
      <c r="I139" s="408"/>
      <c r="J139" s="119">
        <v>3544.0</v>
      </c>
      <c r="K139" s="331">
        <v>1301.0</v>
      </c>
      <c r="L139" s="119"/>
      <c r="M139" s="83"/>
      <c r="N139" s="230">
        <f t="shared" si="20"/>
        <v>4845</v>
      </c>
      <c r="O139" s="191"/>
      <c r="P139" s="411"/>
    </row>
    <row r="140" ht="14.25" customHeight="1">
      <c r="B140" s="396"/>
      <c r="C140" s="330" t="s">
        <v>505</v>
      </c>
      <c r="D140" s="62"/>
      <c r="E140" s="63"/>
      <c r="F140" s="62"/>
      <c r="G140" s="63"/>
      <c r="H140" s="62"/>
      <c r="I140" s="408"/>
      <c r="J140" s="119">
        <v>4883.0</v>
      </c>
      <c r="K140" s="331">
        <v>1790.0</v>
      </c>
      <c r="L140" s="119"/>
      <c r="M140" s="83"/>
      <c r="N140" s="230">
        <f t="shared" si="20"/>
        <v>6673</v>
      </c>
      <c r="O140" s="64"/>
      <c r="P140" s="411"/>
    </row>
    <row r="141" ht="14.25" customHeight="1">
      <c r="B141" s="396"/>
      <c r="C141" s="330" t="s">
        <v>506</v>
      </c>
      <c r="D141" s="62"/>
      <c r="E141" s="63"/>
      <c r="F141" s="62"/>
      <c r="G141" s="63"/>
      <c r="H141" s="62"/>
      <c r="I141" s="408"/>
      <c r="J141" s="119">
        <v>154343.0</v>
      </c>
      <c r="K141" s="331">
        <v>129317.0</v>
      </c>
      <c r="L141" s="119"/>
      <c r="M141" s="83"/>
      <c r="N141" s="230">
        <f t="shared" si="20"/>
        <v>283660</v>
      </c>
      <c r="O141" s="64"/>
      <c r="P141" s="411"/>
    </row>
    <row r="142" ht="14.25" customHeight="1">
      <c r="B142" s="396"/>
      <c r="C142" s="330" t="s">
        <v>507</v>
      </c>
      <c r="D142" s="62"/>
      <c r="E142" s="63"/>
      <c r="F142" s="62"/>
      <c r="G142" s="63"/>
      <c r="H142" s="62"/>
      <c r="I142" s="408"/>
      <c r="J142" s="119">
        <v>0.0</v>
      </c>
      <c r="K142" s="83"/>
      <c r="L142" s="119"/>
      <c r="M142" s="83"/>
      <c r="N142" s="230">
        <f t="shared" si="20"/>
        <v>0</v>
      </c>
      <c r="O142" s="64"/>
      <c r="P142" s="411"/>
    </row>
    <row r="143" ht="14.25" customHeight="1">
      <c r="B143" s="396"/>
      <c r="C143" s="330" t="s">
        <v>508</v>
      </c>
      <c r="D143" s="62"/>
      <c r="E143" s="63"/>
      <c r="F143" s="62"/>
      <c r="G143" s="63"/>
      <c r="H143" s="62"/>
      <c r="I143" s="408"/>
      <c r="J143" s="119">
        <v>0.0</v>
      </c>
      <c r="K143" s="83"/>
      <c r="L143" s="119"/>
      <c r="M143" s="83"/>
      <c r="N143" s="230">
        <f t="shared" si="20"/>
        <v>0</v>
      </c>
      <c r="O143" s="64"/>
      <c r="P143" s="411"/>
    </row>
    <row r="144" ht="14.25" customHeight="1">
      <c r="B144" s="396"/>
      <c r="C144" s="330" t="s">
        <v>509</v>
      </c>
      <c r="D144" s="62"/>
      <c r="E144" s="63"/>
      <c r="F144" s="62"/>
      <c r="G144" s="63"/>
      <c r="H144" s="62"/>
      <c r="I144" s="408"/>
      <c r="J144" s="119">
        <v>0.0</v>
      </c>
      <c r="K144" s="83"/>
      <c r="L144" s="119"/>
      <c r="M144" s="83"/>
      <c r="N144" s="230">
        <f t="shared" si="20"/>
        <v>0</v>
      </c>
      <c r="O144" s="64"/>
      <c r="P144" s="411"/>
    </row>
    <row r="145" ht="14.25" customHeight="1">
      <c r="B145" s="396"/>
      <c r="C145" s="330" t="s">
        <v>510</v>
      </c>
      <c r="D145" s="62"/>
      <c r="E145" s="64"/>
      <c r="F145" s="68"/>
      <c r="G145" s="64"/>
      <c r="H145" s="68"/>
      <c r="I145" s="408"/>
      <c r="J145" s="119">
        <v>0.0</v>
      </c>
      <c r="K145" s="83"/>
      <c r="L145" s="119"/>
      <c r="M145" s="83"/>
      <c r="N145" s="230">
        <f t="shared" si="20"/>
        <v>0</v>
      </c>
      <c r="O145" s="64"/>
      <c r="P145" s="411"/>
    </row>
    <row r="146" ht="14.25" customHeight="1">
      <c r="B146" s="396"/>
      <c r="C146" s="330" t="s">
        <v>511</v>
      </c>
      <c r="D146" s="62"/>
      <c r="E146" s="278"/>
      <c r="F146" s="279"/>
      <c r="G146" s="278"/>
      <c r="H146" s="279"/>
      <c r="I146" s="408"/>
      <c r="J146" s="119">
        <v>0.0</v>
      </c>
      <c r="K146" s="83"/>
      <c r="L146" s="119"/>
      <c r="M146" s="83"/>
      <c r="N146" s="230">
        <f t="shared" si="20"/>
        <v>0</v>
      </c>
      <c r="O146" s="64"/>
      <c r="P146" s="411"/>
    </row>
    <row r="147" ht="14.25" customHeight="1">
      <c r="B147" s="396"/>
      <c r="C147" s="330" t="s">
        <v>512</v>
      </c>
      <c r="D147" s="62"/>
      <c r="E147" s="278"/>
      <c r="F147" s="279"/>
      <c r="G147" s="278"/>
      <c r="H147" s="279"/>
      <c r="I147" s="278"/>
      <c r="J147" s="119">
        <v>0.0</v>
      </c>
      <c r="K147" s="83"/>
      <c r="L147" s="119"/>
      <c r="M147" s="83"/>
      <c r="N147" s="230">
        <f t="shared" si="20"/>
        <v>0</v>
      </c>
      <c r="O147" s="64"/>
      <c r="P147" s="411"/>
    </row>
    <row r="148" ht="14.25" customHeight="1">
      <c r="B148" s="396"/>
      <c r="C148" s="410" t="s">
        <v>143</v>
      </c>
      <c r="D148" s="62"/>
      <c r="E148" s="278"/>
      <c r="F148" s="279"/>
      <c r="G148" s="278"/>
      <c r="H148" s="279"/>
      <c r="I148" s="278"/>
      <c r="J148" s="68">
        <v>206171.0</v>
      </c>
      <c r="K148" s="331">
        <v>154929.0</v>
      </c>
      <c r="L148" s="68"/>
      <c r="M148" s="64"/>
      <c r="N148" s="230">
        <f t="shared" si="20"/>
        <v>361100</v>
      </c>
      <c r="O148" s="64"/>
      <c r="P148" s="411"/>
    </row>
    <row r="149" ht="60.0" customHeight="1">
      <c r="B149" s="396"/>
      <c r="C149" s="330" t="s">
        <v>144</v>
      </c>
      <c r="D149" s="62"/>
      <c r="E149" s="328"/>
      <c r="F149" s="329"/>
      <c r="G149" s="328"/>
      <c r="H149" s="329"/>
      <c r="I149" s="388"/>
      <c r="J149" s="195">
        <v>160839.0</v>
      </c>
      <c r="K149" s="309">
        <v>118895.0</v>
      </c>
      <c r="L149" s="195"/>
      <c r="M149" s="98"/>
      <c r="N149" s="230">
        <f t="shared" si="20"/>
        <v>279734</v>
      </c>
      <c r="O149" s="64"/>
      <c r="P149" s="287"/>
    </row>
    <row r="150" ht="50.25" customHeight="1">
      <c r="A150" s="105"/>
      <c r="B150" s="396"/>
      <c r="C150" s="330" t="s">
        <v>145</v>
      </c>
      <c r="D150" s="108"/>
      <c r="E150" s="388"/>
      <c r="F150" s="412"/>
      <c r="G150" s="388"/>
      <c r="H150" s="412"/>
      <c r="I150" s="388"/>
      <c r="J150" s="195">
        <v>319.0</v>
      </c>
      <c r="K150" s="309">
        <v>201.0</v>
      </c>
      <c r="L150" s="195"/>
      <c r="M150" s="98"/>
      <c r="N150" s="230">
        <f t="shared" si="20"/>
        <v>520</v>
      </c>
      <c r="O150" s="98"/>
      <c r="P150" s="287"/>
      <c r="Q150" s="105"/>
      <c r="R150" s="105"/>
      <c r="S150" s="105"/>
      <c r="T150" s="105"/>
      <c r="U150" s="105"/>
      <c r="V150" s="105"/>
      <c r="W150" s="105"/>
      <c r="X150" s="105"/>
      <c r="Y150" s="105"/>
      <c r="Z150" s="105"/>
    </row>
    <row r="151" ht="14.25" customHeight="1">
      <c r="A151" s="105"/>
      <c r="B151" s="396"/>
      <c r="C151" s="330" t="s">
        <v>146</v>
      </c>
      <c r="D151" s="108"/>
      <c r="E151" s="388"/>
      <c r="F151" s="412"/>
      <c r="G151" s="388"/>
      <c r="H151" s="412"/>
      <c r="I151" s="388"/>
      <c r="J151" s="195">
        <v>0.0</v>
      </c>
      <c r="K151" s="309">
        <v>0.0</v>
      </c>
      <c r="L151" s="195"/>
      <c r="M151" s="98"/>
      <c r="N151" s="230">
        <f t="shared" si="20"/>
        <v>0</v>
      </c>
      <c r="O151" s="98"/>
      <c r="P151" s="287"/>
      <c r="Q151" s="105"/>
      <c r="R151" s="105"/>
      <c r="S151" s="105"/>
      <c r="T151" s="105"/>
      <c r="U151" s="105"/>
      <c r="V151" s="105"/>
      <c r="W151" s="105"/>
      <c r="X151" s="105"/>
      <c r="Y151" s="105"/>
      <c r="Z151" s="105"/>
    </row>
    <row r="152" ht="14.25" customHeight="1">
      <c r="A152" s="105"/>
      <c r="B152" s="396"/>
      <c r="C152" s="330" t="s">
        <v>147</v>
      </c>
      <c r="D152" s="108"/>
      <c r="E152" s="388"/>
      <c r="F152" s="412"/>
      <c r="G152" s="388"/>
      <c r="H152" s="412"/>
      <c r="I152" s="388"/>
      <c r="J152" s="195">
        <v>1087.0</v>
      </c>
      <c r="K152" s="309">
        <v>4273.0</v>
      </c>
      <c r="L152" s="195"/>
      <c r="M152" s="98"/>
      <c r="N152" s="230">
        <f t="shared" si="20"/>
        <v>5360</v>
      </c>
      <c r="O152" s="98"/>
      <c r="P152" s="287"/>
      <c r="Q152" s="105"/>
      <c r="R152" s="105"/>
      <c r="S152" s="105"/>
      <c r="T152" s="105"/>
      <c r="U152" s="105"/>
      <c r="V152" s="105"/>
      <c r="W152" s="105"/>
      <c r="X152" s="105"/>
      <c r="Y152" s="105"/>
      <c r="Z152" s="105"/>
    </row>
    <row r="153" ht="14.25" customHeight="1">
      <c r="B153" s="396"/>
      <c r="C153" s="330" t="s">
        <v>148</v>
      </c>
      <c r="D153" s="62"/>
      <c r="E153" s="278"/>
      <c r="F153" s="279"/>
      <c r="G153" s="278"/>
      <c r="H153" s="279"/>
      <c r="I153" s="278"/>
      <c r="J153" s="68">
        <v>42368.0</v>
      </c>
      <c r="K153" s="331">
        <v>31169.0</v>
      </c>
      <c r="L153" s="68"/>
      <c r="M153" s="64"/>
      <c r="N153" s="230">
        <f t="shared" si="20"/>
        <v>73537</v>
      </c>
      <c r="O153" s="64"/>
      <c r="P153" s="277"/>
    </row>
    <row r="154" ht="14.25" customHeight="1">
      <c r="A154" s="105"/>
      <c r="B154" s="396"/>
      <c r="C154" s="330" t="s">
        <v>149</v>
      </c>
      <c r="D154" s="108"/>
      <c r="E154" s="328"/>
      <c r="F154" s="329"/>
      <c r="G154" s="328"/>
      <c r="H154" s="329"/>
      <c r="I154" s="328"/>
      <c r="J154" s="140">
        <v>1533.0</v>
      </c>
      <c r="K154" s="311">
        <v>390.0</v>
      </c>
      <c r="L154" s="140"/>
      <c r="M154" s="139"/>
      <c r="N154" s="230">
        <f t="shared" si="20"/>
        <v>1923</v>
      </c>
      <c r="O154" s="139"/>
      <c r="P154" s="320"/>
      <c r="Q154" s="105"/>
      <c r="R154" s="105"/>
      <c r="S154" s="105"/>
      <c r="T154" s="105"/>
      <c r="U154" s="105"/>
      <c r="V154" s="105"/>
      <c r="W154" s="105"/>
      <c r="X154" s="105"/>
      <c r="Y154" s="105"/>
      <c r="Z154" s="105"/>
    </row>
    <row r="155" ht="14.25" customHeight="1">
      <c r="A155" s="105"/>
      <c r="B155" s="396"/>
      <c r="C155" s="330" t="s">
        <v>150</v>
      </c>
      <c r="D155" s="108"/>
      <c r="E155" s="328"/>
      <c r="F155" s="329"/>
      <c r="G155" s="328"/>
      <c r="H155" s="329"/>
      <c r="I155" s="328"/>
      <c r="J155" s="140">
        <v>25.0</v>
      </c>
      <c r="K155" s="311">
        <v>1.0</v>
      </c>
      <c r="L155" s="140"/>
      <c r="M155" s="139"/>
      <c r="N155" s="230">
        <f t="shared" si="20"/>
        <v>26</v>
      </c>
      <c r="O155" s="139"/>
      <c r="P155" s="320"/>
      <c r="Q155" s="105"/>
      <c r="R155" s="105"/>
      <c r="S155" s="105"/>
      <c r="T155" s="105"/>
      <c r="U155" s="105"/>
      <c r="V155" s="105"/>
      <c r="W155" s="105"/>
      <c r="X155" s="105"/>
      <c r="Y155" s="105"/>
      <c r="Z155" s="105"/>
    </row>
    <row r="156" ht="14.25" customHeight="1">
      <c r="B156" s="284" t="s">
        <v>513</v>
      </c>
      <c r="C156" s="392"/>
      <c r="D156" s="62"/>
      <c r="E156" s="275"/>
      <c r="F156" s="276"/>
      <c r="G156" s="275"/>
      <c r="H156" s="276"/>
      <c r="I156" s="275"/>
      <c r="J156" s="68"/>
      <c r="K156" s="64"/>
      <c r="L156" s="68"/>
      <c r="M156" s="64"/>
      <c r="N156" s="230" t="str">
        <f>J156</f>
        <v/>
      </c>
      <c r="O156" s="64"/>
      <c r="P156" s="277"/>
    </row>
    <row r="157" ht="14.25" customHeight="1">
      <c r="B157" s="396"/>
      <c r="C157" s="327" t="s">
        <v>514</v>
      </c>
      <c r="D157" s="62"/>
      <c r="E157" s="275"/>
      <c r="F157" s="276"/>
      <c r="G157" s="275"/>
      <c r="H157" s="276"/>
      <c r="I157" s="275"/>
      <c r="J157" s="68">
        <v>0.0</v>
      </c>
      <c r="K157" s="331">
        <v>88354.0</v>
      </c>
      <c r="L157" s="68"/>
      <c r="M157" s="64"/>
      <c r="N157" s="358">
        <v>88354.0</v>
      </c>
      <c r="O157" s="64"/>
      <c r="P157" s="277"/>
    </row>
    <row r="158" ht="14.25" customHeight="1">
      <c r="B158" s="284" t="s">
        <v>515</v>
      </c>
      <c r="C158" s="392"/>
      <c r="D158" s="62"/>
      <c r="E158" s="275"/>
      <c r="F158" s="276"/>
      <c r="G158" s="275"/>
      <c r="H158" s="276"/>
      <c r="I158" s="275"/>
      <c r="J158" s="68"/>
      <c r="K158" s="64"/>
      <c r="L158" s="68"/>
      <c r="M158" s="64"/>
      <c r="N158" s="230" t="str">
        <f t="shared" ref="N158:N163" si="21">J158</f>
        <v/>
      </c>
      <c r="O158" s="64"/>
      <c r="P158" s="277"/>
    </row>
    <row r="159" ht="14.25" customHeight="1">
      <c r="B159" s="396"/>
      <c r="C159" s="327" t="s">
        <v>516</v>
      </c>
      <c r="D159" s="62"/>
      <c r="E159" s="363"/>
      <c r="F159" s="413"/>
      <c r="G159" s="363"/>
      <c r="H159" s="413"/>
      <c r="I159" s="363"/>
      <c r="J159" s="115">
        <v>0.0</v>
      </c>
      <c r="K159" s="379">
        <v>0.0</v>
      </c>
      <c r="L159" s="115"/>
      <c r="M159" s="114"/>
      <c r="N159" s="230">
        <f t="shared" si="21"/>
        <v>0</v>
      </c>
      <c r="O159" s="201"/>
      <c r="P159" s="414" t="s">
        <v>517</v>
      </c>
    </row>
    <row r="160" ht="14.25" customHeight="1">
      <c r="B160" s="284" t="s">
        <v>518</v>
      </c>
      <c r="C160" s="392"/>
      <c r="D160" s="62"/>
      <c r="E160" s="278"/>
      <c r="F160" s="279"/>
      <c r="G160" s="278"/>
      <c r="H160" s="279"/>
      <c r="I160" s="363"/>
      <c r="J160" s="115"/>
      <c r="K160" s="114"/>
      <c r="L160" s="115"/>
      <c r="M160" s="114"/>
      <c r="N160" s="230" t="str">
        <f t="shared" si="21"/>
        <v/>
      </c>
      <c r="O160" s="201"/>
      <c r="P160" s="277" t="s">
        <v>519</v>
      </c>
    </row>
    <row r="161" ht="14.25" customHeight="1">
      <c r="B161" s="288" t="s">
        <v>466</v>
      </c>
      <c r="C161" s="394"/>
      <c r="D161" s="62"/>
      <c r="E161" s="275"/>
      <c r="F161" s="276"/>
      <c r="G161" s="275"/>
      <c r="H161" s="276"/>
      <c r="I161" s="275"/>
      <c r="J161" s="68"/>
      <c r="K161" s="64"/>
      <c r="L161" s="68"/>
      <c r="M161" s="64"/>
      <c r="N161" s="230" t="str">
        <f t="shared" si="21"/>
        <v/>
      </c>
      <c r="O161" s="64"/>
      <c r="P161" s="277"/>
    </row>
    <row r="162" ht="14.25" customHeight="1">
      <c r="B162" s="396"/>
      <c r="C162" s="327" t="s">
        <v>520</v>
      </c>
      <c r="D162" s="62"/>
      <c r="E162" s="169" t="s">
        <v>368</v>
      </c>
      <c r="F162" s="203" t="s">
        <v>368</v>
      </c>
      <c r="G162" s="169" t="s">
        <v>368</v>
      </c>
      <c r="H162" s="203">
        <v>0.78</v>
      </c>
      <c r="I162" s="169">
        <v>0.78</v>
      </c>
      <c r="J162" s="140">
        <v>0.0</v>
      </c>
      <c r="K162" s="303">
        <v>0.4783</v>
      </c>
      <c r="L162" s="140"/>
      <c r="M162" s="139"/>
      <c r="N162" s="230">
        <f t="shared" si="21"/>
        <v>0</v>
      </c>
      <c r="O162" s="98">
        <f>N162-I162</f>
        <v>-0.78</v>
      </c>
      <c r="P162" s="325"/>
    </row>
    <row r="163" ht="14.25" hidden="1" customHeight="1">
      <c r="B163" s="396"/>
      <c r="C163" s="308" t="s">
        <v>521</v>
      </c>
      <c r="D163" s="62"/>
      <c r="E163" s="278"/>
      <c r="F163" s="279"/>
      <c r="G163" s="278"/>
      <c r="H163" s="279"/>
      <c r="I163" s="278"/>
      <c r="J163" s="68"/>
      <c r="K163" s="64"/>
      <c r="L163" s="68"/>
      <c r="M163" s="64"/>
      <c r="N163" s="230" t="str">
        <f t="shared" si="21"/>
        <v/>
      </c>
      <c r="O163" s="64"/>
      <c r="P163" s="277" t="s">
        <v>519</v>
      </c>
    </row>
    <row r="164" ht="14.25" customHeight="1">
      <c r="B164" s="396"/>
      <c r="C164" s="415" t="s">
        <v>522</v>
      </c>
      <c r="D164" s="62"/>
      <c r="E164" s="139"/>
      <c r="F164" s="140"/>
      <c r="G164" s="139"/>
      <c r="H164" s="140"/>
      <c r="I164" s="139"/>
      <c r="J164" s="68">
        <v>13.0</v>
      </c>
      <c r="K164" s="364">
        <v>11.0</v>
      </c>
      <c r="L164" s="68"/>
      <c r="M164" s="64"/>
      <c r="N164" s="230">
        <f t="shared" ref="N164:N170" si="22">sum(J164:M164)</f>
        <v>24</v>
      </c>
      <c r="O164" s="64"/>
      <c r="P164" s="277"/>
    </row>
    <row r="165" ht="14.25" customHeight="1">
      <c r="B165" s="396"/>
      <c r="C165" s="415" t="s">
        <v>523</v>
      </c>
      <c r="D165" s="62"/>
      <c r="E165" s="139"/>
      <c r="F165" s="140"/>
      <c r="G165" s="139"/>
      <c r="H165" s="140"/>
      <c r="I165" s="139"/>
      <c r="J165" s="68">
        <v>0.0</v>
      </c>
      <c r="K165" s="364">
        <v>0.0</v>
      </c>
      <c r="L165" s="68"/>
      <c r="M165" s="64"/>
      <c r="N165" s="230">
        <f t="shared" si="22"/>
        <v>0</v>
      </c>
      <c r="O165" s="64"/>
      <c r="P165" s="277"/>
    </row>
    <row r="166" ht="14.25" customHeight="1">
      <c r="B166" s="396"/>
      <c r="C166" s="308" t="s">
        <v>524</v>
      </c>
      <c r="D166" s="62"/>
      <c r="E166" s="139"/>
      <c r="F166" s="140"/>
      <c r="G166" s="139"/>
      <c r="H166" s="140"/>
      <c r="I166" s="139"/>
      <c r="J166" s="361">
        <v>24.0</v>
      </c>
      <c r="K166" s="364">
        <v>23.0</v>
      </c>
      <c r="L166" s="68"/>
      <c r="M166" s="64"/>
      <c r="N166" s="230">
        <f t="shared" si="22"/>
        <v>47</v>
      </c>
      <c r="O166" s="64"/>
      <c r="P166" s="277"/>
    </row>
    <row r="167" ht="14.25" customHeight="1">
      <c r="B167" s="288" t="s">
        <v>423</v>
      </c>
      <c r="C167" s="394"/>
      <c r="D167" s="62"/>
      <c r="E167" s="275"/>
      <c r="F167" s="276"/>
      <c r="G167" s="275"/>
      <c r="H167" s="276"/>
      <c r="I167" s="275"/>
      <c r="J167" s="68"/>
      <c r="K167" s="64"/>
      <c r="L167" s="68"/>
      <c r="M167" s="64"/>
      <c r="N167" s="230">
        <f t="shared" si="22"/>
        <v>0</v>
      </c>
      <c r="O167" s="64"/>
      <c r="P167" s="277"/>
    </row>
    <row r="168" ht="14.25" customHeight="1">
      <c r="B168" s="396"/>
      <c r="C168" s="416" t="s">
        <v>525</v>
      </c>
      <c r="D168" s="62"/>
      <c r="E168" s="63">
        <v>10.0</v>
      </c>
      <c r="F168" s="62">
        <v>15.0</v>
      </c>
      <c r="G168" s="63">
        <v>15.0</v>
      </c>
      <c r="H168" s="62">
        <v>15.0</v>
      </c>
      <c r="I168" s="63">
        <v>55.0</v>
      </c>
      <c r="J168" s="361">
        <v>24.0</v>
      </c>
      <c r="K168" s="364">
        <v>23.0</v>
      </c>
      <c r="L168" s="68"/>
      <c r="M168" s="64"/>
      <c r="N168" s="230">
        <f t="shared" si="22"/>
        <v>47</v>
      </c>
      <c r="O168" s="229">
        <f>N168-I168</f>
        <v>-8</v>
      </c>
      <c r="P168" s="277"/>
    </row>
    <row r="169" ht="14.25" customHeight="1">
      <c r="B169" s="417"/>
      <c r="C169" s="416" t="s">
        <v>526</v>
      </c>
      <c r="D169" s="62"/>
      <c r="E169" s="275"/>
      <c r="F169" s="276"/>
      <c r="G169" s="275"/>
      <c r="H169" s="276"/>
      <c r="I169" s="275"/>
      <c r="J169" s="68">
        <v>0.0</v>
      </c>
      <c r="K169" s="64"/>
      <c r="L169" s="68"/>
      <c r="M169" s="64"/>
      <c r="N169" s="230">
        <f t="shared" si="22"/>
        <v>0</v>
      </c>
      <c r="O169" s="64"/>
      <c r="P169" s="277"/>
    </row>
    <row r="170" ht="14.25" customHeight="1">
      <c r="A170" s="105"/>
      <c r="B170" s="284" t="s">
        <v>527</v>
      </c>
      <c r="C170" s="392"/>
      <c r="D170" s="108"/>
      <c r="E170" s="169"/>
      <c r="F170" s="169"/>
      <c r="G170" s="169"/>
      <c r="H170" s="169"/>
      <c r="I170" s="418"/>
      <c r="J170" s="401"/>
      <c r="K170" s="401"/>
      <c r="L170" s="419"/>
      <c r="M170" s="420"/>
      <c r="N170" s="230">
        <f t="shared" si="22"/>
        <v>0</v>
      </c>
      <c r="O170" s="169"/>
      <c r="P170" s="325"/>
      <c r="Q170" s="105"/>
      <c r="R170" s="105"/>
      <c r="S170" s="105"/>
      <c r="T170" s="105"/>
      <c r="U170" s="105"/>
      <c r="V170" s="105"/>
      <c r="W170" s="105"/>
      <c r="X170" s="105"/>
      <c r="Y170" s="105"/>
      <c r="Z170" s="105"/>
    </row>
    <row r="171" ht="14.25" customHeight="1">
      <c r="B171" s="396"/>
      <c r="C171" s="327" t="s">
        <v>528</v>
      </c>
      <c r="D171" s="62"/>
      <c r="E171" s="63" t="s">
        <v>131</v>
      </c>
      <c r="F171" s="62" t="s">
        <v>131</v>
      </c>
      <c r="G171" s="63" t="s">
        <v>131</v>
      </c>
      <c r="H171" s="62" t="s">
        <v>131</v>
      </c>
      <c r="I171" s="63" t="s">
        <v>131</v>
      </c>
      <c r="J171" s="68">
        <v>34.0</v>
      </c>
      <c r="K171" s="64"/>
      <c r="L171" s="68"/>
      <c r="M171" s="114"/>
      <c r="N171" s="230">
        <f>J171</f>
        <v>34</v>
      </c>
      <c r="O171" s="64"/>
      <c r="P171" s="277"/>
    </row>
    <row r="172" ht="14.25" customHeight="1">
      <c r="A172" s="105"/>
      <c r="B172" s="396"/>
      <c r="C172" s="330" t="s">
        <v>529</v>
      </c>
      <c r="D172" s="108"/>
      <c r="E172" s="139" t="s">
        <v>131</v>
      </c>
      <c r="F172" s="140" t="s">
        <v>131</v>
      </c>
      <c r="G172" s="139" t="s">
        <v>131</v>
      </c>
      <c r="H172" s="140" t="s">
        <v>131</v>
      </c>
      <c r="I172" s="139" t="s">
        <v>131</v>
      </c>
      <c r="J172" s="140">
        <v>34.0</v>
      </c>
      <c r="K172" s="311">
        <v>43.0</v>
      </c>
      <c r="L172" s="140"/>
      <c r="M172" s="139"/>
      <c r="N172" s="230">
        <f t="shared" ref="N172:N211" si="23">sum(J172:M172)</f>
        <v>77</v>
      </c>
      <c r="O172" s="139"/>
      <c r="P172" s="325"/>
      <c r="Q172" s="204"/>
      <c r="R172" s="105"/>
      <c r="S172" s="105"/>
      <c r="T172" s="105"/>
      <c r="U172" s="105"/>
      <c r="V172" s="105"/>
      <c r="W172" s="105"/>
      <c r="X172" s="105"/>
      <c r="Y172" s="105"/>
      <c r="Z172" s="105"/>
    </row>
    <row r="173" ht="14.25" customHeight="1">
      <c r="A173" s="105"/>
      <c r="B173" s="396"/>
      <c r="C173" s="330" t="s">
        <v>530</v>
      </c>
      <c r="D173" s="108"/>
      <c r="E173" s="98" t="s">
        <v>131</v>
      </c>
      <c r="F173" s="195" t="s">
        <v>131</v>
      </c>
      <c r="G173" s="98" t="s">
        <v>131</v>
      </c>
      <c r="H173" s="195" t="s">
        <v>131</v>
      </c>
      <c r="I173" s="98" t="s">
        <v>131</v>
      </c>
      <c r="J173" s="140">
        <v>0.0</v>
      </c>
      <c r="K173" s="311">
        <v>1.0</v>
      </c>
      <c r="L173" s="195"/>
      <c r="M173" s="139"/>
      <c r="N173" s="230">
        <f t="shared" si="23"/>
        <v>1</v>
      </c>
      <c r="O173" s="139"/>
      <c r="P173" s="325"/>
      <c r="Q173" s="204"/>
      <c r="R173" s="105"/>
      <c r="S173" s="105"/>
      <c r="T173" s="105"/>
      <c r="U173" s="105"/>
      <c r="V173" s="105"/>
      <c r="W173" s="105"/>
      <c r="X173" s="105"/>
      <c r="Y173" s="105"/>
      <c r="Z173" s="105"/>
    </row>
    <row r="174" ht="14.25" customHeight="1">
      <c r="A174" s="105"/>
      <c r="B174" s="396"/>
      <c r="C174" s="327" t="s">
        <v>531</v>
      </c>
      <c r="D174" s="108"/>
      <c r="E174" s="139" t="s">
        <v>131</v>
      </c>
      <c r="F174" s="140" t="s">
        <v>131</v>
      </c>
      <c r="G174" s="139" t="s">
        <v>131</v>
      </c>
      <c r="H174" s="140" t="s">
        <v>131</v>
      </c>
      <c r="I174" s="139" t="s">
        <v>131</v>
      </c>
      <c r="J174" s="140">
        <v>0.0</v>
      </c>
      <c r="K174" s="311">
        <v>10.0</v>
      </c>
      <c r="L174" s="140"/>
      <c r="M174" s="139"/>
      <c r="N174" s="230">
        <f t="shared" si="23"/>
        <v>10</v>
      </c>
      <c r="O174" s="139"/>
      <c r="P174" s="325"/>
      <c r="Q174" s="204"/>
      <c r="R174" s="105"/>
      <c r="S174" s="105"/>
      <c r="T174" s="105"/>
      <c r="U174" s="105"/>
      <c r="V174" s="105"/>
      <c r="W174" s="105"/>
      <c r="X174" s="105"/>
      <c r="Y174" s="105"/>
      <c r="Z174" s="105"/>
    </row>
    <row r="175" ht="14.25" customHeight="1">
      <c r="B175" s="284" t="s">
        <v>532</v>
      </c>
      <c r="C175" s="392"/>
      <c r="D175" s="108"/>
      <c r="E175" s="98"/>
      <c r="F175" s="140"/>
      <c r="G175" s="139"/>
      <c r="H175" s="140"/>
      <c r="I175" s="139"/>
      <c r="J175" s="195"/>
      <c r="K175" s="139"/>
      <c r="L175" s="140"/>
      <c r="M175" s="139"/>
      <c r="N175" s="230">
        <f t="shared" si="23"/>
        <v>0</v>
      </c>
      <c r="O175" s="139"/>
      <c r="P175" s="353"/>
      <c r="Q175" s="206"/>
    </row>
    <row r="176" ht="14.25" customHeight="1">
      <c r="B176" s="396"/>
      <c r="C176" s="327" t="s">
        <v>533</v>
      </c>
      <c r="D176" s="62"/>
      <c r="E176" s="83"/>
      <c r="F176" s="68"/>
      <c r="G176" s="64"/>
      <c r="H176" s="68"/>
      <c r="I176" s="64"/>
      <c r="J176" s="68">
        <v>0.0</v>
      </c>
      <c r="K176" s="364">
        <v>4.0</v>
      </c>
      <c r="L176" s="68"/>
      <c r="M176" s="64"/>
      <c r="N176" s="230">
        <f t="shared" si="23"/>
        <v>4</v>
      </c>
      <c r="O176" s="64"/>
      <c r="P176" s="351"/>
      <c r="Q176" s="206"/>
    </row>
    <row r="177" ht="14.25" customHeight="1">
      <c r="B177" s="284" t="s">
        <v>534</v>
      </c>
      <c r="C177" s="392"/>
      <c r="D177" s="62"/>
      <c r="E177" s="83"/>
      <c r="F177" s="68"/>
      <c r="G177" s="64"/>
      <c r="H177" s="68"/>
      <c r="I177" s="64"/>
      <c r="J177" s="68"/>
      <c r="K177" s="64"/>
      <c r="L177" s="68"/>
      <c r="M177" s="64"/>
      <c r="N177" s="230">
        <f t="shared" si="23"/>
        <v>0</v>
      </c>
      <c r="O177" s="64"/>
      <c r="P177" s="351"/>
      <c r="Q177" s="206"/>
    </row>
    <row r="178" ht="14.25" customHeight="1">
      <c r="B178" s="396"/>
      <c r="C178" s="327" t="s">
        <v>535</v>
      </c>
      <c r="D178" s="62"/>
      <c r="E178" s="83"/>
      <c r="F178" s="68"/>
      <c r="G178" s="64"/>
      <c r="H178" s="68"/>
      <c r="I178" s="64"/>
      <c r="J178" s="119">
        <v>0.0</v>
      </c>
      <c r="K178" s="364">
        <v>0.0</v>
      </c>
      <c r="L178" s="119"/>
      <c r="M178" s="64"/>
      <c r="N178" s="230">
        <f t="shared" si="23"/>
        <v>0</v>
      </c>
      <c r="O178" s="64"/>
      <c r="P178" s="351"/>
    </row>
    <row r="179" ht="14.25" customHeight="1">
      <c r="B179" s="284" t="s">
        <v>536</v>
      </c>
      <c r="C179" s="392"/>
      <c r="D179" s="108"/>
      <c r="E179" s="169"/>
      <c r="F179" s="169"/>
      <c r="G179" s="169"/>
      <c r="H179" s="169"/>
      <c r="I179" s="169"/>
      <c r="J179" s="187"/>
      <c r="K179" s="169"/>
      <c r="L179" s="203"/>
      <c r="M179" s="169"/>
      <c r="N179" s="230">
        <f t="shared" si="23"/>
        <v>0</v>
      </c>
      <c r="O179" s="64"/>
      <c r="P179" s="325"/>
    </row>
    <row r="180" ht="14.25" customHeight="1">
      <c r="B180" s="405"/>
      <c r="C180" s="327" t="s">
        <v>537</v>
      </c>
      <c r="D180" s="62"/>
      <c r="E180" s="63">
        <v>1544.0</v>
      </c>
      <c r="F180" s="62">
        <v>1544.0</v>
      </c>
      <c r="G180" s="63">
        <v>1544.0</v>
      </c>
      <c r="H180" s="62">
        <v>1544.0</v>
      </c>
      <c r="I180" s="63">
        <v>1544.0</v>
      </c>
      <c r="J180" s="407"/>
      <c r="K180" s="364">
        <v>12777.0</v>
      </c>
      <c r="L180" s="68"/>
      <c r="M180" s="64"/>
      <c r="N180" s="230">
        <f t="shared" si="23"/>
        <v>12777</v>
      </c>
      <c r="O180" s="64"/>
      <c r="P180" s="421" t="s">
        <v>538</v>
      </c>
    </row>
    <row r="181" ht="14.25" customHeight="1">
      <c r="B181" s="284" t="s">
        <v>539</v>
      </c>
      <c r="C181" s="392"/>
      <c r="D181" s="62"/>
      <c r="E181" s="63"/>
      <c r="F181" s="62"/>
      <c r="G181" s="63"/>
      <c r="H181" s="62"/>
      <c r="I181" s="63"/>
      <c r="J181" s="68"/>
      <c r="K181" s="64"/>
      <c r="L181" s="68"/>
      <c r="M181" s="64"/>
      <c r="N181" s="230">
        <f t="shared" si="23"/>
        <v>0</v>
      </c>
      <c r="O181" s="64"/>
      <c r="P181" s="277"/>
    </row>
    <row r="182" ht="14.25" customHeight="1">
      <c r="B182" s="396"/>
      <c r="C182" s="416" t="s">
        <v>540</v>
      </c>
      <c r="D182" s="62"/>
      <c r="E182" s="63" t="s">
        <v>368</v>
      </c>
      <c r="F182" s="62">
        <v>5000.0</v>
      </c>
      <c r="G182" s="63" t="s">
        <v>368</v>
      </c>
      <c r="H182" s="62" t="s">
        <v>368</v>
      </c>
      <c r="I182" s="63">
        <v>5000.0</v>
      </c>
      <c r="J182" s="68">
        <v>0.0</v>
      </c>
      <c r="K182" s="364">
        <v>4858.0</v>
      </c>
      <c r="L182" s="68"/>
      <c r="M182" s="64"/>
      <c r="N182" s="230">
        <f t="shared" si="23"/>
        <v>4858</v>
      </c>
      <c r="O182" s="229">
        <f t="shared" ref="O182:O185" si="24">N182-I182</f>
        <v>-142</v>
      </c>
      <c r="P182" s="277"/>
    </row>
    <row r="183" ht="14.25" customHeight="1">
      <c r="B183" s="422"/>
      <c r="C183" s="416" t="s">
        <v>541</v>
      </c>
      <c r="D183" s="62"/>
      <c r="E183" s="63" t="s">
        <v>368</v>
      </c>
      <c r="F183" s="62">
        <v>5000.0</v>
      </c>
      <c r="G183" s="63" t="s">
        <v>368</v>
      </c>
      <c r="H183" s="62" t="s">
        <v>368</v>
      </c>
      <c r="I183" s="63">
        <v>5000.0</v>
      </c>
      <c r="J183" s="68">
        <v>0.0</v>
      </c>
      <c r="K183" s="364">
        <v>4851.0</v>
      </c>
      <c r="L183" s="68"/>
      <c r="M183" s="64"/>
      <c r="N183" s="230">
        <f t="shared" si="23"/>
        <v>4851</v>
      </c>
      <c r="O183" s="229">
        <f t="shared" si="24"/>
        <v>-149</v>
      </c>
      <c r="P183" s="277"/>
    </row>
    <row r="184" ht="14.25" customHeight="1">
      <c r="B184" s="422"/>
      <c r="C184" s="416" t="s">
        <v>542</v>
      </c>
      <c r="D184" s="62"/>
      <c r="E184" s="169" t="s">
        <v>368</v>
      </c>
      <c r="F184" s="203">
        <v>1000.0</v>
      </c>
      <c r="G184" s="169" t="s">
        <v>368</v>
      </c>
      <c r="H184" s="203" t="s">
        <v>368</v>
      </c>
      <c r="I184" s="232">
        <v>1000.0</v>
      </c>
      <c r="J184" s="203">
        <v>0.0</v>
      </c>
      <c r="K184" s="311">
        <v>971.0</v>
      </c>
      <c r="L184" s="203"/>
      <c r="M184" s="169"/>
      <c r="N184" s="230">
        <f t="shared" si="23"/>
        <v>971</v>
      </c>
      <c r="O184" s="229">
        <f t="shared" si="24"/>
        <v>-29</v>
      </c>
      <c r="P184" s="325"/>
    </row>
    <row r="185" ht="14.25" customHeight="1">
      <c r="B185" s="422"/>
      <c r="C185" s="423" t="s">
        <v>543</v>
      </c>
      <c r="D185" s="62"/>
      <c r="E185" s="114" t="s">
        <v>368</v>
      </c>
      <c r="F185" s="115">
        <v>500.0</v>
      </c>
      <c r="G185" s="114" t="s">
        <v>368</v>
      </c>
      <c r="H185" s="115" t="s">
        <v>368</v>
      </c>
      <c r="I185" s="229">
        <v>500.0</v>
      </c>
      <c r="J185" s="145">
        <v>0.0</v>
      </c>
      <c r="K185" s="364">
        <v>495.0</v>
      </c>
      <c r="L185" s="68"/>
      <c r="M185" s="92"/>
      <c r="N185" s="230">
        <f t="shared" si="23"/>
        <v>495</v>
      </c>
      <c r="O185" s="229">
        <f t="shared" si="24"/>
        <v>-5</v>
      </c>
      <c r="P185" s="277"/>
    </row>
    <row r="186" ht="14.25" customHeight="1">
      <c r="B186" s="284" t="s">
        <v>544</v>
      </c>
      <c r="C186" s="392"/>
      <c r="D186" s="62"/>
      <c r="E186" s="114"/>
      <c r="F186" s="115"/>
      <c r="G186" s="114"/>
      <c r="H186" s="115"/>
      <c r="I186" s="229"/>
      <c r="J186" s="145"/>
      <c r="K186" s="92"/>
      <c r="L186" s="145"/>
      <c r="M186" s="92"/>
      <c r="N186" s="230">
        <f t="shared" si="23"/>
        <v>0</v>
      </c>
      <c r="O186" s="92"/>
      <c r="P186" s="277"/>
    </row>
    <row r="187" ht="14.25" customHeight="1">
      <c r="B187" s="417"/>
      <c r="C187" s="416" t="s">
        <v>545</v>
      </c>
      <c r="D187" s="62"/>
      <c r="E187" s="114">
        <v>2.0</v>
      </c>
      <c r="F187" s="115">
        <v>5.0</v>
      </c>
      <c r="G187" s="114">
        <v>11.0</v>
      </c>
      <c r="H187" s="115">
        <v>32.0</v>
      </c>
      <c r="I187" s="229">
        <v>50.0</v>
      </c>
      <c r="J187" s="145">
        <v>0.0</v>
      </c>
      <c r="K187" s="424">
        <v>0.0</v>
      </c>
      <c r="L187" s="68"/>
      <c r="M187" s="92"/>
      <c r="N187" s="230">
        <f t="shared" si="23"/>
        <v>0</v>
      </c>
      <c r="O187" s="92"/>
      <c r="P187" s="277"/>
    </row>
    <row r="188" ht="14.25" customHeight="1">
      <c r="B188" s="425" t="s">
        <v>546</v>
      </c>
      <c r="C188" s="426"/>
      <c r="D188" s="62"/>
      <c r="E188" s="114"/>
      <c r="F188" s="115"/>
      <c r="G188" s="114"/>
      <c r="H188" s="115"/>
      <c r="I188" s="229"/>
      <c r="J188" s="145"/>
      <c r="K188" s="92"/>
      <c r="L188" s="68"/>
      <c r="M188" s="92"/>
      <c r="N188" s="230">
        <f t="shared" si="23"/>
        <v>0</v>
      </c>
      <c r="O188" s="92"/>
      <c r="P188" s="277"/>
    </row>
    <row r="189" ht="14.25" customHeight="1">
      <c r="B189" s="427"/>
      <c r="C189" s="428" t="s">
        <v>547</v>
      </c>
      <c r="D189" s="62"/>
      <c r="E189" s="114"/>
      <c r="F189" s="115"/>
      <c r="G189" s="114"/>
      <c r="H189" s="115"/>
      <c r="I189" s="229"/>
      <c r="J189" s="145">
        <v>0.0</v>
      </c>
      <c r="K189" s="92"/>
      <c r="L189" s="145"/>
      <c r="M189" s="92"/>
      <c r="N189" s="230">
        <f t="shared" si="23"/>
        <v>0</v>
      </c>
      <c r="O189" s="92"/>
      <c r="P189" s="325"/>
    </row>
    <row r="190" ht="14.25" customHeight="1">
      <c r="B190" s="427"/>
      <c r="C190" s="429" t="s">
        <v>548</v>
      </c>
      <c r="D190" s="62"/>
      <c r="E190" s="114" t="s">
        <v>368</v>
      </c>
      <c r="F190" s="115" t="s">
        <v>368</v>
      </c>
      <c r="G190" s="114" t="s">
        <v>368</v>
      </c>
      <c r="H190" s="115">
        <v>4200.0</v>
      </c>
      <c r="I190" s="229">
        <v>4200.0</v>
      </c>
      <c r="J190" s="68">
        <v>0.0</v>
      </c>
      <c r="K190" s="364">
        <v>4200.0</v>
      </c>
      <c r="L190" s="68"/>
      <c r="M190" s="64"/>
      <c r="N190" s="230">
        <f t="shared" si="23"/>
        <v>4200</v>
      </c>
      <c r="O190" s="364">
        <v>0.0</v>
      </c>
      <c r="P190" s="277"/>
    </row>
    <row r="191" ht="14.25" customHeight="1">
      <c r="B191" s="427"/>
      <c r="C191" s="429" t="s">
        <v>549</v>
      </c>
      <c r="D191" s="62"/>
      <c r="E191" s="139" t="s">
        <v>368</v>
      </c>
      <c r="F191" s="140" t="s">
        <v>368</v>
      </c>
      <c r="G191" s="64" t="s">
        <v>368</v>
      </c>
      <c r="H191" s="68" t="s">
        <v>368</v>
      </c>
      <c r="I191" s="64" t="s">
        <v>368</v>
      </c>
      <c r="J191" s="230">
        <v>0.0</v>
      </c>
      <c r="K191" s="364">
        <v>800.0</v>
      </c>
      <c r="L191" s="68"/>
      <c r="M191" s="64"/>
      <c r="N191" s="230">
        <f t="shared" si="23"/>
        <v>800</v>
      </c>
      <c r="O191" s="364">
        <v>0.0</v>
      </c>
      <c r="P191" s="277"/>
    </row>
    <row r="192" ht="14.25" customHeight="1">
      <c r="A192" s="105"/>
      <c r="B192" s="430"/>
      <c r="C192" s="431"/>
      <c r="D192" s="108"/>
      <c r="E192" s="139"/>
      <c r="F192" s="140"/>
      <c r="G192" s="139"/>
      <c r="H192" s="140"/>
      <c r="I192" s="139"/>
      <c r="J192" s="140"/>
      <c r="K192" s="139"/>
      <c r="L192" s="140"/>
      <c r="M192" s="139"/>
      <c r="N192" s="230">
        <f t="shared" si="23"/>
        <v>0</v>
      </c>
      <c r="O192" s="98">
        <f t="shared" ref="O192:O193" si="25">N192-I192</f>
        <v>0</v>
      </c>
      <c r="P192" s="325"/>
      <c r="Q192" s="105"/>
      <c r="R192" s="105"/>
      <c r="S192" s="105"/>
      <c r="T192" s="105"/>
      <c r="U192" s="105"/>
      <c r="V192" s="105"/>
      <c r="W192" s="105"/>
      <c r="X192" s="105"/>
      <c r="Y192" s="105"/>
      <c r="Z192" s="105"/>
    </row>
    <row r="193" ht="14.25" customHeight="1">
      <c r="B193" s="432" t="s">
        <v>199</v>
      </c>
      <c r="C193" s="433"/>
      <c r="D193" s="62"/>
      <c r="E193" s="64"/>
      <c r="F193" s="68"/>
      <c r="G193" s="64"/>
      <c r="H193" s="68"/>
      <c r="I193" s="64"/>
      <c r="J193" s="68"/>
      <c r="K193" s="64"/>
      <c r="L193" s="68"/>
      <c r="M193" s="64"/>
      <c r="N193" s="230">
        <f t="shared" si="23"/>
        <v>0</v>
      </c>
      <c r="O193" s="98">
        <f t="shared" si="25"/>
        <v>0</v>
      </c>
      <c r="P193" s="325"/>
    </row>
    <row r="194" ht="14.25" customHeight="1">
      <c r="B194" s="434" t="s">
        <v>550</v>
      </c>
      <c r="C194" s="435"/>
      <c r="D194" s="62"/>
      <c r="E194" s="64"/>
      <c r="F194" s="68"/>
      <c r="G194" s="64"/>
      <c r="H194" s="68"/>
      <c r="I194" s="64"/>
      <c r="J194" s="68"/>
      <c r="K194" s="64"/>
      <c r="L194" s="68"/>
      <c r="M194" s="64"/>
      <c r="N194" s="230">
        <f t="shared" si="23"/>
        <v>0</v>
      </c>
      <c r="O194" s="64"/>
      <c r="P194" s="277"/>
    </row>
    <row r="195" ht="14.25" customHeight="1">
      <c r="B195" s="321" t="s">
        <v>466</v>
      </c>
      <c r="C195" s="436"/>
      <c r="D195" s="62"/>
      <c r="E195" s="64"/>
      <c r="F195" s="68"/>
      <c r="G195" s="64"/>
      <c r="H195" s="68"/>
      <c r="I195" s="64"/>
      <c r="J195" s="68"/>
      <c r="K195" s="64"/>
      <c r="L195" s="68"/>
      <c r="M195" s="64"/>
      <c r="N195" s="230">
        <f t="shared" si="23"/>
        <v>0</v>
      </c>
      <c r="O195" s="64"/>
      <c r="P195" s="277"/>
    </row>
    <row r="196" ht="14.25" customHeight="1">
      <c r="B196" s="437"/>
      <c r="C196" s="397" t="s">
        <v>551</v>
      </c>
      <c r="D196" s="62"/>
      <c r="E196" s="92">
        <v>1.0</v>
      </c>
      <c r="F196" s="145">
        <v>1.0</v>
      </c>
      <c r="G196" s="92">
        <v>1.0</v>
      </c>
      <c r="H196" s="145">
        <v>1.0</v>
      </c>
      <c r="I196" s="92">
        <v>1.0</v>
      </c>
      <c r="J196" s="68">
        <v>0.0</v>
      </c>
      <c r="K196" s="364">
        <v>0.0</v>
      </c>
      <c r="L196" s="68"/>
      <c r="M196" s="64"/>
      <c r="N196" s="230">
        <f t="shared" si="23"/>
        <v>0</v>
      </c>
      <c r="O196" s="64"/>
      <c r="P196" s="277"/>
    </row>
    <row r="197" ht="14.25" customHeight="1">
      <c r="B197" s="437"/>
      <c r="C197" s="369" t="s">
        <v>552</v>
      </c>
      <c r="D197" s="62"/>
      <c r="E197" s="64" t="s">
        <v>131</v>
      </c>
      <c r="F197" s="68" t="s">
        <v>131</v>
      </c>
      <c r="G197" s="64" t="s">
        <v>131</v>
      </c>
      <c r="H197" s="68" t="s">
        <v>131</v>
      </c>
      <c r="I197" s="64" t="s">
        <v>131</v>
      </c>
      <c r="J197" s="68">
        <v>0.0</v>
      </c>
      <c r="K197" s="364">
        <v>0.0</v>
      </c>
      <c r="L197" s="68"/>
      <c r="M197" s="64"/>
      <c r="N197" s="230">
        <f t="shared" si="23"/>
        <v>0</v>
      </c>
      <c r="O197" s="64"/>
      <c r="P197" s="277"/>
    </row>
    <row r="198" ht="14.25" customHeight="1">
      <c r="B198" s="437"/>
      <c r="C198" s="369" t="s">
        <v>553</v>
      </c>
      <c r="D198" s="62"/>
      <c r="E198" s="64"/>
      <c r="F198" s="68"/>
      <c r="G198" s="64"/>
      <c r="H198" s="68"/>
      <c r="I198" s="64"/>
      <c r="J198" s="68">
        <v>0.0</v>
      </c>
      <c r="K198" s="364">
        <v>0.0</v>
      </c>
      <c r="L198" s="68"/>
      <c r="M198" s="64"/>
      <c r="N198" s="230">
        <f t="shared" si="23"/>
        <v>0</v>
      </c>
      <c r="O198" s="64"/>
      <c r="P198" s="277"/>
    </row>
    <row r="199" ht="14.25" customHeight="1">
      <c r="B199" s="288" t="s">
        <v>459</v>
      </c>
      <c r="C199" s="394"/>
      <c r="D199" s="62"/>
      <c r="E199" s="64"/>
      <c r="F199" s="68"/>
      <c r="G199" s="64"/>
      <c r="H199" s="68"/>
      <c r="I199" s="208"/>
      <c r="J199" s="209"/>
      <c r="K199" s="64"/>
      <c r="L199" s="68"/>
      <c r="M199" s="64"/>
      <c r="N199" s="230">
        <f t="shared" si="23"/>
        <v>0</v>
      </c>
      <c r="O199" s="64"/>
      <c r="P199" s="277"/>
    </row>
    <row r="200" ht="14.25" customHeight="1">
      <c r="B200" s="396"/>
      <c r="C200" s="327" t="s">
        <v>554</v>
      </c>
      <c r="D200" s="62"/>
      <c r="E200" s="64"/>
      <c r="F200" s="68"/>
      <c r="G200" s="64"/>
      <c r="H200" s="68"/>
      <c r="I200" s="208"/>
      <c r="J200" s="209">
        <v>0.0</v>
      </c>
      <c r="K200" s="364">
        <v>44.0</v>
      </c>
      <c r="L200" s="68"/>
      <c r="M200" s="64"/>
      <c r="N200" s="230">
        <f t="shared" si="23"/>
        <v>44</v>
      </c>
      <c r="O200" s="64"/>
      <c r="P200" s="277"/>
    </row>
    <row r="201" ht="14.25" customHeight="1">
      <c r="B201" s="396"/>
      <c r="C201" s="327" t="s">
        <v>555</v>
      </c>
      <c r="D201" s="62"/>
      <c r="E201" s="64"/>
      <c r="F201" s="68"/>
      <c r="G201" s="64"/>
      <c r="H201" s="68"/>
      <c r="I201" s="208"/>
      <c r="J201" s="209">
        <v>19.0</v>
      </c>
      <c r="K201" s="364">
        <v>15.0</v>
      </c>
      <c r="L201" s="68"/>
      <c r="M201" s="64"/>
      <c r="N201" s="230">
        <f t="shared" si="23"/>
        <v>34</v>
      </c>
      <c r="O201" s="64"/>
      <c r="P201" s="277"/>
    </row>
    <row r="202" ht="14.25" customHeight="1">
      <c r="B202" s="396"/>
      <c r="C202" s="397" t="s">
        <v>556</v>
      </c>
      <c r="D202" s="62"/>
      <c r="E202" s="64" t="s">
        <v>131</v>
      </c>
      <c r="F202" s="209" t="s">
        <v>131</v>
      </c>
      <c r="G202" s="64" t="s">
        <v>131</v>
      </c>
      <c r="H202" s="68" t="s">
        <v>131</v>
      </c>
      <c r="I202" s="64" t="s">
        <v>131</v>
      </c>
      <c r="J202" s="209">
        <v>1712.0</v>
      </c>
      <c r="K202" s="364">
        <v>3334.0</v>
      </c>
      <c r="L202" s="68"/>
      <c r="M202" s="64"/>
      <c r="N202" s="230">
        <f t="shared" si="23"/>
        <v>5046</v>
      </c>
      <c r="O202" s="208"/>
      <c r="P202" s="277"/>
    </row>
    <row r="203" ht="14.25" customHeight="1">
      <c r="B203" s="396"/>
      <c r="C203" s="398" t="s">
        <v>557</v>
      </c>
      <c r="D203" s="62"/>
      <c r="E203" s="64" t="s">
        <v>131</v>
      </c>
      <c r="F203" s="68" t="s">
        <v>131</v>
      </c>
      <c r="G203" s="64" t="s">
        <v>131</v>
      </c>
      <c r="H203" s="68" t="s">
        <v>131</v>
      </c>
      <c r="I203" s="208" t="s">
        <v>131</v>
      </c>
      <c r="J203" s="209">
        <v>1712.0</v>
      </c>
      <c r="K203" s="364">
        <v>3334.0</v>
      </c>
      <c r="L203" s="68"/>
      <c r="M203" s="64"/>
      <c r="N203" s="230">
        <f t="shared" si="23"/>
        <v>5046</v>
      </c>
      <c r="O203" s="64"/>
      <c r="P203" s="277"/>
    </row>
    <row r="204" ht="14.25" customHeight="1">
      <c r="B204" s="396"/>
      <c r="C204" s="398" t="s">
        <v>558</v>
      </c>
      <c r="D204" s="62"/>
      <c r="E204" s="64" t="s">
        <v>131</v>
      </c>
      <c r="F204" s="68" t="s">
        <v>131</v>
      </c>
      <c r="G204" s="64" t="s">
        <v>131</v>
      </c>
      <c r="H204" s="68" t="s">
        <v>131</v>
      </c>
      <c r="I204" s="208" t="s">
        <v>131</v>
      </c>
      <c r="J204" s="209">
        <v>0.0</v>
      </c>
      <c r="K204" s="64"/>
      <c r="L204" s="68"/>
      <c r="M204" s="64"/>
      <c r="N204" s="230">
        <f t="shared" si="23"/>
        <v>0</v>
      </c>
      <c r="O204" s="208"/>
      <c r="P204" s="277"/>
    </row>
    <row r="205" ht="14.25" customHeight="1">
      <c r="B205" s="396"/>
      <c r="C205" s="398" t="s">
        <v>559</v>
      </c>
      <c r="D205" s="62"/>
      <c r="E205" s="64" t="s">
        <v>131</v>
      </c>
      <c r="F205" s="68" t="s">
        <v>131</v>
      </c>
      <c r="G205" s="64" t="s">
        <v>131</v>
      </c>
      <c r="H205" s="68" t="s">
        <v>131</v>
      </c>
      <c r="I205" s="208" t="s">
        <v>131</v>
      </c>
      <c r="J205" s="209">
        <v>0.0</v>
      </c>
      <c r="K205" s="64"/>
      <c r="L205" s="68"/>
      <c r="M205" s="64"/>
      <c r="N205" s="230">
        <f t="shared" si="23"/>
        <v>0</v>
      </c>
      <c r="O205" s="64"/>
      <c r="P205" s="277"/>
    </row>
    <row r="206" ht="14.25" customHeight="1">
      <c r="B206" s="396"/>
      <c r="C206" s="398" t="s">
        <v>560</v>
      </c>
      <c r="D206" s="62"/>
      <c r="E206" s="64" t="s">
        <v>131</v>
      </c>
      <c r="F206" s="68" t="s">
        <v>131</v>
      </c>
      <c r="G206" s="64" t="s">
        <v>131</v>
      </c>
      <c r="H206" s="68" t="s">
        <v>131</v>
      </c>
      <c r="I206" s="208" t="s">
        <v>131</v>
      </c>
      <c r="J206" s="209">
        <v>0.0</v>
      </c>
      <c r="K206" s="64"/>
      <c r="L206" s="68"/>
      <c r="M206" s="64"/>
      <c r="N206" s="230">
        <f t="shared" si="23"/>
        <v>0</v>
      </c>
      <c r="O206" s="64"/>
      <c r="P206" s="65"/>
    </row>
    <row r="207" ht="14.25" customHeight="1">
      <c r="B207" s="396"/>
      <c r="C207" s="397" t="s">
        <v>561</v>
      </c>
      <c r="D207" s="62"/>
      <c r="E207" s="64" t="s">
        <v>131</v>
      </c>
      <c r="F207" s="68" t="s">
        <v>131</v>
      </c>
      <c r="G207" s="64" t="s">
        <v>131</v>
      </c>
      <c r="H207" s="68" t="s">
        <v>131</v>
      </c>
      <c r="I207" s="208" t="s">
        <v>131</v>
      </c>
      <c r="J207" s="209">
        <v>0.0</v>
      </c>
      <c r="K207" s="64"/>
      <c r="L207" s="68"/>
      <c r="M207" s="64"/>
      <c r="N207" s="230">
        <f t="shared" si="23"/>
        <v>0</v>
      </c>
      <c r="O207" s="64"/>
      <c r="P207" s="89"/>
    </row>
    <row r="208" ht="14.25" customHeight="1">
      <c r="B208" s="396"/>
      <c r="C208" s="398" t="s">
        <v>562</v>
      </c>
      <c r="D208" s="62"/>
      <c r="E208" s="64" t="s">
        <v>131</v>
      </c>
      <c r="F208" s="68" t="s">
        <v>131</v>
      </c>
      <c r="G208" s="64" t="s">
        <v>131</v>
      </c>
      <c r="H208" s="68" t="s">
        <v>131</v>
      </c>
      <c r="I208" s="208" t="s">
        <v>131</v>
      </c>
      <c r="J208" s="209">
        <v>0.0</v>
      </c>
      <c r="K208" s="64"/>
      <c r="L208" s="68"/>
      <c r="M208" s="64"/>
      <c r="N208" s="230">
        <f t="shared" si="23"/>
        <v>0</v>
      </c>
      <c r="O208" s="64"/>
      <c r="P208" s="89"/>
    </row>
    <row r="209" ht="14.25" customHeight="1">
      <c r="B209" s="396"/>
      <c r="C209" s="398" t="s">
        <v>563</v>
      </c>
      <c r="D209" s="62"/>
      <c r="E209" s="64" t="s">
        <v>131</v>
      </c>
      <c r="F209" s="68" t="s">
        <v>131</v>
      </c>
      <c r="G209" s="64" t="s">
        <v>131</v>
      </c>
      <c r="H209" s="68" t="s">
        <v>131</v>
      </c>
      <c r="I209" s="64" t="s">
        <v>131</v>
      </c>
      <c r="J209" s="68">
        <v>0.0</v>
      </c>
      <c r="K209" s="64"/>
      <c r="L209" s="68"/>
      <c r="M209" s="64"/>
      <c r="N209" s="230">
        <f t="shared" si="23"/>
        <v>0</v>
      </c>
      <c r="O209" s="64"/>
      <c r="P209" s="65"/>
    </row>
    <row r="210" ht="14.25" customHeight="1">
      <c r="B210" s="396"/>
      <c r="C210" s="398" t="s">
        <v>564</v>
      </c>
      <c r="D210" s="62"/>
      <c r="E210" s="83" t="s">
        <v>131</v>
      </c>
      <c r="F210" s="209" t="s">
        <v>131</v>
      </c>
      <c r="G210" s="208" t="s">
        <v>131</v>
      </c>
      <c r="H210" s="209" t="s">
        <v>131</v>
      </c>
      <c r="I210" s="208" t="s">
        <v>131</v>
      </c>
      <c r="J210" s="209">
        <v>0.0</v>
      </c>
      <c r="K210" s="64"/>
      <c r="L210" s="68"/>
      <c r="M210" s="64"/>
      <c r="N210" s="230">
        <f t="shared" si="23"/>
        <v>0</v>
      </c>
      <c r="O210" s="64"/>
      <c r="P210" s="65"/>
    </row>
    <row r="211" ht="14.25" customHeight="1">
      <c r="B211" s="396"/>
      <c r="C211" s="327" t="s">
        <v>565</v>
      </c>
      <c r="D211" s="62"/>
      <c r="E211" s="64" t="s">
        <v>131</v>
      </c>
      <c r="F211" s="68" t="s">
        <v>131</v>
      </c>
      <c r="G211" s="64" t="s">
        <v>131</v>
      </c>
      <c r="H211" s="68" t="s">
        <v>131</v>
      </c>
      <c r="I211" s="64" t="s">
        <v>131</v>
      </c>
      <c r="J211" s="209">
        <v>0.0</v>
      </c>
      <c r="K211" s="64"/>
      <c r="L211" s="68"/>
      <c r="M211" s="64"/>
      <c r="N211" s="230">
        <f t="shared" si="23"/>
        <v>0</v>
      </c>
      <c r="O211" s="64"/>
      <c r="P211" s="277"/>
    </row>
    <row r="212" ht="14.25" customHeight="1">
      <c r="B212" s="396"/>
      <c r="C212" s="327" t="s">
        <v>566</v>
      </c>
      <c r="D212" s="62"/>
      <c r="E212" s="83"/>
      <c r="F212" s="119"/>
      <c r="G212" s="83"/>
      <c r="H212" s="119"/>
      <c r="I212" s="83"/>
      <c r="J212" s="378">
        <v>1.0</v>
      </c>
      <c r="K212" s="379">
        <v>1.0</v>
      </c>
      <c r="L212" s="68"/>
      <c r="M212" s="64"/>
      <c r="N212" s="380">
        <v>1.0</v>
      </c>
      <c r="O212" s="83"/>
      <c r="P212" s="353"/>
    </row>
    <row r="213" ht="14.25" customHeight="1">
      <c r="A213" s="105"/>
      <c r="B213" s="396"/>
      <c r="C213" s="308" t="s">
        <v>567</v>
      </c>
      <c r="D213" s="108"/>
      <c r="E213" s="169" t="s">
        <v>131</v>
      </c>
      <c r="F213" s="203" t="s">
        <v>131</v>
      </c>
      <c r="G213" s="169" t="s">
        <v>131</v>
      </c>
      <c r="H213" s="203" t="s">
        <v>131</v>
      </c>
      <c r="I213" s="169" t="s">
        <v>131</v>
      </c>
      <c r="J213" s="195">
        <v>6.0</v>
      </c>
      <c r="K213" s="311">
        <v>12.0</v>
      </c>
      <c r="L213" s="140"/>
      <c r="M213" s="139"/>
      <c r="N213" s="230">
        <f t="shared" ref="N213:N249" si="26">sum(J213:M213)</f>
        <v>18</v>
      </c>
      <c r="O213" s="98"/>
      <c r="P213" s="99"/>
      <c r="Q213" s="105"/>
      <c r="R213" s="105"/>
      <c r="S213" s="105"/>
      <c r="T213" s="105"/>
      <c r="U213" s="105"/>
      <c r="V213" s="105"/>
      <c r="W213" s="105"/>
      <c r="X213" s="105"/>
      <c r="Y213" s="105"/>
      <c r="Z213" s="105"/>
    </row>
    <row r="214" ht="14.25" customHeight="1">
      <c r="B214" s="434" t="s">
        <v>568</v>
      </c>
      <c r="C214" s="435"/>
      <c r="D214" s="62"/>
      <c r="E214" s="114"/>
      <c r="F214" s="115"/>
      <c r="G214" s="114"/>
      <c r="H214" s="115"/>
      <c r="I214" s="114"/>
      <c r="J214" s="115"/>
      <c r="K214" s="114"/>
      <c r="L214" s="115"/>
      <c r="M214" s="114"/>
      <c r="N214" s="230">
        <f t="shared" si="26"/>
        <v>0</v>
      </c>
      <c r="O214" s="83">
        <v>0.0</v>
      </c>
      <c r="P214" s="277"/>
    </row>
    <row r="215" ht="14.25" customHeight="1">
      <c r="B215" s="396"/>
      <c r="C215" s="438" t="s">
        <v>569</v>
      </c>
      <c r="D215" s="62"/>
      <c r="E215" s="64">
        <v>10.0</v>
      </c>
      <c r="F215" s="68">
        <v>11.0</v>
      </c>
      <c r="G215" s="64">
        <v>11.0</v>
      </c>
      <c r="H215" s="68">
        <v>11.0</v>
      </c>
      <c r="I215" s="64">
        <v>43.0</v>
      </c>
      <c r="J215" s="68">
        <v>18.0</v>
      </c>
      <c r="K215" s="364">
        <v>1.0</v>
      </c>
      <c r="L215" s="115"/>
      <c r="M215" s="114"/>
      <c r="N215" s="230">
        <f t="shared" si="26"/>
        <v>19</v>
      </c>
      <c r="O215" s="229">
        <f>N215-I215</f>
        <v>-24</v>
      </c>
      <c r="P215" s="325"/>
    </row>
    <row r="216" ht="14.25" customHeight="1">
      <c r="B216" s="434" t="s">
        <v>570</v>
      </c>
      <c r="C216" s="439"/>
      <c r="D216" s="62"/>
      <c r="E216" s="275"/>
      <c r="F216" s="276"/>
      <c r="G216" s="275"/>
      <c r="H216" s="276"/>
      <c r="I216" s="275"/>
      <c r="J216" s="68"/>
      <c r="K216" s="64"/>
      <c r="L216" s="68"/>
      <c r="M216" s="64"/>
      <c r="N216" s="230">
        <f t="shared" si="26"/>
        <v>0</v>
      </c>
      <c r="O216" s="64"/>
      <c r="P216" s="277"/>
    </row>
    <row r="217" ht="14.25" customHeight="1">
      <c r="B217" s="396"/>
      <c r="C217" s="438" t="s">
        <v>571</v>
      </c>
      <c r="D217" s="62"/>
      <c r="E217" s="63" t="s">
        <v>368</v>
      </c>
      <c r="F217" s="62">
        <v>2200.0</v>
      </c>
      <c r="G217" s="63">
        <v>2400.0</v>
      </c>
      <c r="H217" s="62" t="s">
        <v>368</v>
      </c>
      <c r="I217" s="63">
        <v>4600.0</v>
      </c>
      <c r="J217" s="68">
        <v>0.0</v>
      </c>
      <c r="K217" s="364">
        <v>2200.0</v>
      </c>
      <c r="L217" s="68"/>
      <c r="M217" s="64"/>
      <c r="N217" s="230">
        <f t="shared" si="26"/>
        <v>2200</v>
      </c>
      <c r="O217" s="229">
        <f>N217-I217</f>
        <v>-2400</v>
      </c>
      <c r="P217" s="277"/>
    </row>
    <row r="218" ht="14.25" customHeight="1">
      <c r="B218" s="299"/>
      <c r="C218" s="296"/>
      <c r="D218" s="62"/>
      <c r="E218" s="63"/>
      <c r="F218" s="62"/>
      <c r="G218" s="63"/>
      <c r="H218" s="62"/>
      <c r="I218" s="63"/>
      <c r="J218" s="68">
        <v>0.0</v>
      </c>
      <c r="K218" s="64"/>
      <c r="L218" s="68"/>
      <c r="M218" s="64"/>
      <c r="N218" s="230">
        <f t="shared" si="26"/>
        <v>0</v>
      </c>
      <c r="O218" s="64"/>
      <c r="P218" s="277"/>
    </row>
    <row r="219" ht="14.25" customHeight="1">
      <c r="B219" s="440" t="s">
        <v>215</v>
      </c>
      <c r="C219" s="441"/>
      <c r="D219" s="62"/>
      <c r="E219" s="63"/>
      <c r="F219" s="62"/>
      <c r="G219" s="63"/>
      <c r="H219" s="62"/>
      <c r="I219" s="63"/>
      <c r="J219" s="68"/>
      <c r="K219" s="64"/>
      <c r="L219" s="68"/>
      <c r="M219" s="64"/>
      <c r="N219" s="230">
        <f t="shared" si="26"/>
        <v>0</v>
      </c>
      <c r="O219" s="64"/>
      <c r="P219" s="277"/>
    </row>
    <row r="220" ht="14.25" customHeight="1">
      <c r="B220" s="442" t="s">
        <v>417</v>
      </c>
      <c r="C220" s="443"/>
      <c r="D220" s="62"/>
      <c r="E220" s="63"/>
      <c r="F220" s="62"/>
      <c r="G220" s="63"/>
      <c r="H220" s="62"/>
      <c r="I220" s="63"/>
      <c r="J220" s="68"/>
      <c r="K220" s="64"/>
      <c r="L220" s="68"/>
      <c r="M220" s="64"/>
      <c r="N220" s="230">
        <f t="shared" si="26"/>
        <v>0</v>
      </c>
      <c r="O220" s="64"/>
      <c r="P220" s="277"/>
    </row>
    <row r="221" ht="15.0" customHeight="1">
      <c r="B221" s="444"/>
      <c r="C221" s="445" t="s">
        <v>572</v>
      </c>
      <c r="D221" s="62"/>
      <c r="E221" s="63">
        <v>6.0</v>
      </c>
      <c r="F221" s="62">
        <v>10.0</v>
      </c>
      <c r="G221" s="63">
        <v>9.0</v>
      </c>
      <c r="H221" s="62">
        <v>2.0</v>
      </c>
      <c r="I221" s="211">
        <v>27.0</v>
      </c>
      <c r="J221" s="68">
        <v>7.0</v>
      </c>
      <c r="K221" s="364">
        <v>10.0</v>
      </c>
      <c r="L221" s="68"/>
      <c r="M221" s="64"/>
      <c r="N221" s="230">
        <f t="shared" si="26"/>
        <v>17</v>
      </c>
      <c r="O221" s="229">
        <f>N221-I221</f>
        <v>-10</v>
      </c>
      <c r="P221" s="287"/>
    </row>
    <row r="222" ht="14.25" customHeight="1">
      <c r="B222" s="446" t="s">
        <v>459</v>
      </c>
      <c r="C222" s="447"/>
      <c r="D222" s="62"/>
      <c r="E222" s="63"/>
      <c r="F222" s="62"/>
      <c r="G222" s="63"/>
      <c r="H222" s="62"/>
      <c r="I222" s="211"/>
      <c r="J222" s="68"/>
      <c r="K222" s="64"/>
      <c r="L222" s="68"/>
      <c r="M222" s="64"/>
      <c r="N222" s="230">
        <f t="shared" si="26"/>
        <v>0</v>
      </c>
      <c r="O222" s="64"/>
      <c r="P222" s="287"/>
    </row>
    <row r="223" ht="14.25" customHeight="1">
      <c r="B223" s="448"/>
      <c r="C223" s="449" t="s">
        <v>573</v>
      </c>
      <c r="D223" s="62"/>
      <c r="E223" s="275"/>
      <c r="F223" s="276"/>
      <c r="G223" s="275"/>
      <c r="H223" s="276"/>
      <c r="I223" s="450"/>
      <c r="J223" s="68">
        <v>138.0</v>
      </c>
      <c r="K223" s="364">
        <v>630.0</v>
      </c>
      <c r="L223" s="68"/>
      <c r="M223" s="64"/>
      <c r="N223" s="230">
        <f t="shared" si="26"/>
        <v>768</v>
      </c>
      <c r="O223" s="64"/>
      <c r="P223" s="287"/>
    </row>
    <row r="224" ht="14.25" customHeight="1">
      <c r="B224" s="448"/>
      <c r="C224" s="449" t="s">
        <v>249</v>
      </c>
      <c r="D224" s="62"/>
      <c r="E224" s="275"/>
      <c r="F224" s="276"/>
      <c r="G224" s="275"/>
      <c r="H224" s="276"/>
      <c r="I224" s="450"/>
      <c r="J224" s="68">
        <v>0.0</v>
      </c>
      <c r="K224" s="64"/>
      <c r="L224" s="68"/>
      <c r="M224" s="64"/>
      <c r="N224" s="230">
        <f t="shared" si="26"/>
        <v>0</v>
      </c>
      <c r="O224" s="64"/>
      <c r="P224" s="287"/>
    </row>
    <row r="225" ht="14.25" customHeight="1">
      <c r="B225" s="448"/>
      <c r="C225" s="451" t="s">
        <v>574</v>
      </c>
      <c r="D225" s="62"/>
      <c r="E225" s="275"/>
      <c r="F225" s="276"/>
      <c r="G225" s="275"/>
      <c r="H225" s="276"/>
      <c r="I225" s="450"/>
      <c r="J225" s="68">
        <v>0.0</v>
      </c>
      <c r="K225" s="64"/>
      <c r="L225" s="68"/>
      <c r="M225" s="64"/>
      <c r="N225" s="230">
        <f t="shared" si="26"/>
        <v>0</v>
      </c>
      <c r="O225" s="64"/>
      <c r="P225" s="287"/>
    </row>
    <row r="226" ht="14.25" customHeight="1">
      <c r="B226" s="448"/>
      <c r="C226" s="452" t="s">
        <v>575</v>
      </c>
      <c r="D226" s="62"/>
      <c r="E226" s="275"/>
      <c r="F226" s="276"/>
      <c r="G226" s="275"/>
      <c r="H226" s="276"/>
      <c r="I226" s="450"/>
      <c r="J226" s="68">
        <v>0.0</v>
      </c>
      <c r="K226" s="64"/>
      <c r="L226" s="68"/>
      <c r="M226" s="64"/>
      <c r="N226" s="230">
        <f t="shared" si="26"/>
        <v>0</v>
      </c>
      <c r="O226" s="64"/>
      <c r="P226" s="287"/>
    </row>
    <row r="227" ht="14.25" customHeight="1">
      <c r="B227" s="448"/>
      <c r="C227" s="449" t="s">
        <v>250</v>
      </c>
      <c r="D227" s="62"/>
      <c r="E227" s="275"/>
      <c r="F227" s="276"/>
      <c r="G227" s="275"/>
      <c r="H227" s="276"/>
      <c r="I227" s="450"/>
      <c r="J227" s="68">
        <v>0.0</v>
      </c>
      <c r="K227" s="64"/>
      <c r="L227" s="68"/>
      <c r="M227" s="64"/>
      <c r="N227" s="230">
        <f t="shared" si="26"/>
        <v>0</v>
      </c>
      <c r="O227" s="64"/>
      <c r="P227" s="287"/>
    </row>
    <row r="228" ht="14.25" customHeight="1">
      <c r="B228" s="448"/>
      <c r="C228" s="453" t="s">
        <v>576</v>
      </c>
      <c r="D228" s="62"/>
      <c r="E228" s="275"/>
      <c r="F228" s="276"/>
      <c r="G228" s="275"/>
      <c r="H228" s="276"/>
      <c r="I228" s="450"/>
      <c r="J228" s="68">
        <v>0.0</v>
      </c>
      <c r="K228" s="64"/>
      <c r="L228" s="68"/>
      <c r="M228" s="64"/>
      <c r="N228" s="230">
        <f t="shared" si="26"/>
        <v>0</v>
      </c>
      <c r="O228" s="64"/>
      <c r="P228" s="287"/>
    </row>
    <row r="229" ht="14.25" customHeight="1">
      <c r="B229" s="448"/>
      <c r="C229" s="453" t="s">
        <v>577</v>
      </c>
      <c r="D229" s="62"/>
      <c r="E229" s="275"/>
      <c r="F229" s="276"/>
      <c r="G229" s="275"/>
      <c r="H229" s="276"/>
      <c r="I229" s="450"/>
      <c r="J229" s="68">
        <v>0.0</v>
      </c>
      <c r="K229" s="64"/>
      <c r="L229" s="68"/>
      <c r="M229" s="64"/>
      <c r="N229" s="230">
        <f t="shared" si="26"/>
        <v>0</v>
      </c>
      <c r="O229" s="64"/>
      <c r="P229" s="287"/>
    </row>
    <row r="230" ht="14.25" customHeight="1">
      <c r="B230" s="454"/>
      <c r="C230" s="454"/>
      <c r="D230" s="62"/>
      <c r="E230" s="275"/>
      <c r="F230" s="276"/>
      <c r="G230" s="275"/>
      <c r="H230" s="276"/>
      <c r="I230" s="450"/>
      <c r="J230" s="68"/>
      <c r="K230" s="64"/>
      <c r="L230" s="68"/>
      <c r="M230" s="64"/>
      <c r="N230" s="230">
        <f t="shared" si="26"/>
        <v>0</v>
      </c>
      <c r="O230" s="64"/>
      <c r="P230" s="287"/>
    </row>
    <row r="231" ht="14.25" customHeight="1">
      <c r="B231" s="455" t="s">
        <v>252</v>
      </c>
      <c r="C231" s="456"/>
      <c r="D231" s="62"/>
      <c r="E231" s="275"/>
      <c r="F231" s="276"/>
      <c r="G231" s="275"/>
      <c r="H231" s="276"/>
      <c r="I231" s="450"/>
      <c r="J231" s="68"/>
      <c r="K231" s="64"/>
      <c r="L231" s="68"/>
      <c r="M231" s="64"/>
      <c r="N231" s="230">
        <f t="shared" si="26"/>
        <v>0</v>
      </c>
      <c r="O231" s="64"/>
      <c r="P231" s="287"/>
    </row>
    <row r="232" ht="14.25" customHeight="1">
      <c r="B232" s="446" t="s">
        <v>459</v>
      </c>
      <c r="C232" s="447"/>
      <c r="D232" s="62"/>
      <c r="E232" s="275"/>
      <c r="F232" s="276"/>
      <c r="G232" s="275"/>
      <c r="H232" s="276"/>
      <c r="I232" s="450"/>
      <c r="J232" s="68"/>
      <c r="K232" s="64"/>
      <c r="L232" s="68"/>
      <c r="M232" s="64"/>
      <c r="N232" s="230">
        <f t="shared" si="26"/>
        <v>0</v>
      </c>
      <c r="O232" s="64"/>
      <c r="P232" s="287"/>
    </row>
    <row r="233" ht="14.25" customHeight="1">
      <c r="B233" s="448"/>
      <c r="C233" s="449" t="s">
        <v>578</v>
      </c>
      <c r="D233" s="62"/>
      <c r="E233" s="63">
        <v>20.0</v>
      </c>
      <c r="F233" s="62">
        <v>22.0</v>
      </c>
      <c r="G233" s="63">
        <v>20.0</v>
      </c>
      <c r="H233" s="62">
        <v>21.0</v>
      </c>
      <c r="I233" s="211">
        <v>83.0</v>
      </c>
      <c r="J233" s="68">
        <v>0.0</v>
      </c>
      <c r="K233" s="64"/>
      <c r="L233" s="68"/>
      <c r="M233" s="64"/>
      <c r="N233" s="230">
        <f t="shared" si="26"/>
        <v>0</v>
      </c>
      <c r="O233" s="64"/>
      <c r="P233" s="287"/>
    </row>
    <row r="234" ht="14.25" customHeight="1">
      <c r="B234" s="448"/>
      <c r="C234" s="453" t="s">
        <v>579</v>
      </c>
      <c r="D234" s="62"/>
      <c r="E234" s="63"/>
      <c r="F234" s="62"/>
      <c r="G234" s="63"/>
      <c r="H234" s="62"/>
      <c r="I234" s="211"/>
      <c r="J234" s="68">
        <v>16.0</v>
      </c>
      <c r="K234" s="364">
        <v>33.0</v>
      </c>
      <c r="L234" s="68"/>
      <c r="M234" s="64"/>
      <c r="N234" s="230">
        <f t="shared" si="26"/>
        <v>49</v>
      </c>
      <c r="O234" s="64"/>
      <c r="P234" s="287"/>
    </row>
    <row r="235" ht="14.25" customHeight="1">
      <c r="B235" s="448"/>
      <c r="C235" s="428" t="s">
        <v>580</v>
      </c>
      <c r="D235" s="62"/>
      <c r="E235" s="63"/>
      <c r="F235" s="62"/>
      <c r="G235" s="63"/>
      <c r="H235" s="62"/>
      <c r="I235" s="211"/>
      <c r="J235" s="68">
        <v>16.0</v>
      </c>
      <c r="K235" s="364">
        <v>36.0</v>
      </c>
      <c r="L235" s="68"/>
      <c r="M235" s="64"/>
      <c r="N235" s="230">
        <f t="shared" si="26"/>
        <v>52</v>
      </c>
      <c r="O235" s="64"/>
      <c r="P235" s="287"/>
    </row>
    <row r="236" ht="14.25" customHeight="1">
      <c r="B236" s="448"/>
      <c r="C236" s="428" t="s">
        <v>581</v>
      </c>
      <c r="D236" s="62"/>
      <c r="E236" s="63"/>
      <c r="F236" s="62"/>
      <c r="G236" s="63"/>
      <c r="H236" s="62"/>
      <c r="I236" s="211"/>
      <c r="J236" s="68">
        <v>1.0</v>
      </c>
      <c r="K236" s="364">
        <v>1.0</v>
      </c>
      <c r="L236" s="68"/>
      <c r="M236" s="64"/>
      <c r="N236" s="230">
        <f t="shared" si="26"/>
        <v>2</v>
      </c>
      <c r="O236" s="64"/>
      <c r="P236" s="295"/>
    </row>
    <row r="237" ht="14.25" customHeight="1">
      <c r="B237" s="448"/>
      <c r="C237" s="453" t="s">
        <v>582</v>
      </c>
      <c r="D237" s="62"/>
      <c r="E237" s="63"/>
      <c r="F237" s="62"/>
      <c r="G237" s="63"/>
      <c r="H237" s="62"/>
      <c r="I237" s="211"/>
      <c r="J237" s="68">
        <v>16.0</v>
      </c>
      <c r="K237" s="364">
        <v>33.0</v>
      </c>
      <c r="L237" s="68"/>
      <c r="M237" s="64"/>
      <c r="N237" s="230">
        <f t="shared" si="26"/>
        <v>49</v>
      </c>
      <c r="O237" s="64"/>
      <c r="P237" s="40"/>
    </row>
    <row r="238" ht="14.25" customHeight="1">
      <c r="B238" s="448"/>
      <c r="C238" s="453" t="s">
        <v>583</v>
      </c>
      <c r="D238" s="62"/>
      <c r="E238" s="63"/>
      <c r="F238" s="62"/>
      <c r="G238" s="63"/>
      <c r="H238" s="62"/>
      <c r="I238" s="211"/>
      <c r="J238" s="68">
        <v>16.0</v>
      </c>
      <c r="K238" s="364">
        <v>33.0</v>
      </c>
      <c r="L238" s="68"/>
      <c r="M238" s="64"/>
      <c r="N238" s="230">
        <f t="shared" si="26"/>
        <v>49</v>
      </c>
      <c r="O238" s="64"/>
      <c r="P238" s="40"/>
    </row>
    <row r="239" ht="14.25" customHeight="1">
      <c r="B239" s="457"/>
      <c r="C239" s="458"/>
      <c r="D239" s="62"/>
      <c r="E239" s="63"/>
      <c r="F239" s="62"/>
      <c r="G239" s="63"/>
      <c r="H239" s="62"/>
      <c r="I239" s="211"/>
      <c r="J239" s="68"/>
      <c r="K239" s="64"/>
      <c r="L239" s="68"/>
      <c r="M239" s="64"/>
      <c r="N239" s="230">
        <f t="shared" si="26"/>
        <v>0</v>
      </c>
      <c r="O239" s="64"/>
      <c r="P239" s="40"/>
    </row>
    <row r="240" ht="14.25" customHeight="1">
      <c r="B240" s="459" t="s">
        <v>288</v>
      </c>
      <c r="C240" s="460"/>
      <c r="D240" s="62"/>
      <c r="E240" s="63"/>
      <c r="F240" s="62"/>
      <c r="G240" s="63"/>
      <c r="H240" s="62"/>
      <c r="I240" s="211"/>
      <c r="J240" s="68"/>
      <c r="K240" s="64"/>
      <c r="L240" s="68"/>
      <c r="M240" s="64"/>
      <c r="N240" s="230">
        <f t="shared" si="26"/>
        <v>0</v>
      </c>
      <c r="O240" s="64"/>
      <c r="P240" s="40"/>
    </row>
    <row r="241" ht="14.25" customHeight="1">
      <c r="B241" s="284" t="s">
        <v>584</v>
      </c>
      <c r="C241" s="392"/>
      <c r="D241" s="62"/>
      <c r="E241" s="63"/>
      <c r="F241" s="62"/>
      <c r="G241" s="63"/>
      <c r="H241" s="62"/>
      <c r="I241" s="211"/>
      <c r="J241" s="68"/>
      <c r="K241" s="64"/>
      <c r="L241" s="68"/>
      <c r="M241" s="64"/>
      <c r="N241" s="230">
        <f t="shared" si="26"/>
        <v>0</v>
      </c>
      <c r="O241" s="64"/>
      <c r="P241" s="40"/>
    </row>
    <row r="242" ht="14.25" customHeight="1">
      <c r="B242" s="437"/>
      <c r="C242" s="327" t="s">
        <v>585</v>
      </c>
      <c r="D242" s="62"/>
      <c r="E242" s="63" t="s">
        <v>368</v>
      </c>
      <c r="F242" s="62">
        <v>10.0</v>
      </c>
      <c r="G242" s="63">
        <v>15.0</v>
      </c>
      <c r="H242" s="62" t="s">
        <v>368</v>
      </c>
      <c r="I242" s="461">
        <v>25.0</v>
      </c>
      <c r="J242" s="68">
        <v>0.0</v>
      </c>
      <c r="K242" s="364">
        <v>10.0</v>
      </c>
      <c r="L242" s="68"/>
      <c r="M242" s="64"/>
      <c r="N242" s="230">
        <f t="shared" si="26"/>
        <v>10</v>
      </c>
      <c r="O242" s="229">
        <f t="shared" ref="O242:O244" si="27">N242-I242</f>
        <v>-15</v>
      </c>
      <c r="P242" s="40"/>
    </row>
    <row r="243" ht="14.25" customHeight="1">
      <c r="B243" s="437"/>
      <c r="C243" s="327" t="s">
        <v>586</v>
      </c>
      <c r="D243" s="62"/>
      <c r="E243" s="63" t="s">
        <v>368</v>
      </c>
      <c r="F243" s="62">
        <v>10.0</v>
      </c>
      <c r="G243" s="63">
        <v>10.0</v>
      </c>
      <c r="H243" s="62" t="s">
        <v>368</v>
      </c>
      <c r="I243" s="461">
        <v>20.0</v>
      </c>
      <c r="J243" s="68">
        <v>0.0</v>
      </c>
      <c r="K243" s="364">
        <v>10.0</v>
      </c>
      <c r="L243" s="68"/>
      <c r="M243" s="64"/>
      <c r="N243" s="230">
        <f t="shared" si="26"/>
        <v>10</v>
      </c>
      <c r="O243" s="229">
        <f t="shared" si="27"/>
        <v>-10</v>
      </c>
      <c r="P243" s="40"/>
    </row>
    <row r="244" ht="14.25" customHeight="1">
      <c r="B244" s="437"/>
      <c r="C244" s="327" t="s">
        <v>587</v>
      </c>
      <c r="D244" s="62"/>
      <c r="E244" s="63" t="s">
        <v>368</v>
      </c>
      <c r="F244" s="62">
        <v>1.0</v>
      </c>
      <c r="G244" s="63">
        <v>1.0</v>
      </c>
      <c r="H244" s="62">
        <v>14.0</v>
      </c>
      <c r="I244" s="211">
        <v>16.0</v>
      </c>
      <c r="J244" s="68">
        <v>0.0</v>
      </c>
      <c r="K244" s="364">
        <v>1.0</v>
      </c>
      <c r="L244" s="68"/>
      <c r="M244" s="64"/>
      <c r="N244" s="230">
        <f t="shared" si="26"/>
        <v>1</v>
      </c>
      <c r="O244" s="229">
        <f t="shared" si="27"/>
        <v>-15</v>
      </c>
      <c r="P244" s="40"/>
    </row>
    <row r="245" ht="14.25" customHeight="1">
      <c r="B245" s="284" t="s">
        <v>588</v>
      </c>
      <c r="C245" s="462"/>
      <c r="D245" s="62"/>
      <c r="E245" s="63"/>
      <c r="F245" s="62"/>
      <c r="G245" s="63"/>
      <c r="H245" s="62"/>
      <c r="I245" s="211"/>
      <c r="J245" s="68"/>
      <c r="K245" s="64"/>
      <c r="L245" s="68"/>
      <c r="M245" s="64"/>
      <c r="N245" s="230">
        <f t="shared" si="26"/>
        <v>0</v>
      </c>
      <c r="O245" s="64"/>
      <c r="P245" s="40"/>
    </row>
    <row r="246" ht="14.25" customHeight="1">
      <c r="B246" s="457"/>
      <c r="C246" s="327" t="s">
        <v>589</v>
      </c>
      <c r="D246" s="62"/>
      <c r="E246" s="63"/>
      <c r="F246" s="62"/>
      <c r="G246" s="63"/>
      <c r="H246" s="62"/>
      <c r="I246" s="211"/>
      <c r="J246" s="68">
        <v>0.0</v>
      </c>
      <c r="K246" s="364">
        <v>0.0</v>
      </c>
      <c r="L246" s="68"/>
      <c r="M246" s="64"/>
      <c r="N246" s="230">
        <f t="shared" si="26"/>
        <v>0</v>
      </c>
      <c r="O246" s="64"/>
      <c r="P246" s="40"/>
    </row>
    <row r="247" ht="14.25" customHeight="1">
      <c r="B247" s="284" t="s">
        <v>590</v>
      </c>
      <c r="C247" s="463"/>
      <c r="D247" s="62"/>
      <c r="E247" s="63"/>
      <c r="F247" s="62"/>
      <c r="G247" s="63"/>
      <c r="H247" s="62"/>
      <c r="I247" s="211"/>
      <c r="J247" s="68"/>
      <c r="K247" s="64"/>
      <c r="L247" s="68"/>
      <c r="M247" s="64"/>
      <c r="N247" s="230">
        <f t="shared" si="26"/>
        <v>0</v>
      </c>
      <c r="O247" s="64"/>
      <c r="P247" s="40"/>
    </row>
    <row r="248" ht="14.25" customHeight="1">
      <c r="B248" s="457"/>
      <c r="C248" s="327" t="s">
        <v>591</v>
      </c>
      <c r="D248" s="62"/>
      <c r="E248" s="63" t="s">
        <v>368</v>
      </c>
      <c r="F248" s="62" t="s">
        <v>368</v>
      </c>
      <c r="G248" s="63" t="s">
        <v>368</v>
      </c>
      <c r="H248" s="62">
        <v>6.0</v>
      </c>
      <c r="I248" s="211">
        <v>6.0</v>
      </c>
      <c r="J248" s="68">
        <v>3.0</v>
      </c>
      <c r="K248" s="364">
        <v>2.0</v>
      </c>
      <c r="L248" s="68"/>
      <c r="M248" s="64"/>
      <c r="N248" s="230">
        <f t="shared" si="26"/>
        <v>5</v>
      </c>
      <c r="O248" s="64"/>
      <c r="P248" s="40"/>
    </row>
    <row r="249" ht="14.25" customHeight="1">
      <c r="B249" s="284" t="s">
        <v>592</v>
      </c>
      <c r="C249" s="392"/>
      <c r="D249" s="62"/>
      <c r="E249" s="63"/>
      <c r="F249" s="62"/>
      <c r="G249" s="63"/>
      <c r="H249" s="62"/>
      <c r="I249" s="211"/>
      <c r="J249" s="68"/>
      <c r="K249" s="64"/>
      <c r="L249" s="68"/>
      <c r="M249" s="64"/>
      <c r="N249" s="230">
        <f t="shared" si="26"/>
        <v>0</v>
      </c>
      <c r="O249" s="64"/>
      <c r="P249" s="40"/>
    </row>
    <row r="250" ht="14.25" customHeight="1">
      <c r="B250" s="396"/>
      <c r="C250" s="464" t="s">
        <v>593</v>
      </c>
      <c r="D250" s="62"/>
      <c r="E250" s="63"/>
      <c r="F250" s="62"/>
      <c r="G250" s="63"/>
      <c r="H250" s="62"/>
      <c r="I250" s="211"/>
      <c r="J250" s="378">
        <v>1.0</v>
      </c>
      <c r="K250" s="379">
        <v>1.0</v>
      </c>
      <c r="L250" s="68"/>
      <c r="M250" s="64"/>
      <c r="N250" s="378">
        <v>1.0</v>
      </c>
      <c r="O250" s="64"/>
      <c r="P250" s="90"/>
    </row>
    <row r="251" ht="14.25" customHeight="1">
      <c r="B251" s="284" t="s">
        <v>594</v>
      </c>
      <c r="C251" s="392"/>
      <c r="D251" s="62"/>
      <c r="E251" s="63"/>
      <c r="F251" s="62"/>
      <c r="G251" s="63"/>
      <c r="H251" s="62"/>
      <c r="I251" s="211"/>
      <c r="J251" s="68"/>
      <c r="K251" s="64"/>
      <c r="L251" s="68"/>
      <c r="M251" s="64"/>
      <c r="N251" s="230">
        <f>sum(J251:M251)</f>
        <v>0</v>
      </c>
      <c r="O251" s="64"/>
      <c r="P251" s="287"/>
    </row>
    <row r="252" ht="14.25" customHeight="1">
      <c r="B252" s="396"/>
      <c r="C252" s="327" t="s">
        <v>595</v>
      </c>
      <c r="D252" s="62"/>
      <c r="E252" s="63"/>
      <c r="F252" s="62"/>
      <c r="G252" s="63"/>
      <c r="H252" s="62"/>
      <c r="I252" s="211"/>
      <c r="J252" s="380">
        <v>0.9999</v>
      </c>
      <c r="K252" s="424">
        <v>0.9998</v>
      </c>
      <c r="L252" s="68"/>
      <c r="M252" s="64"/>
      <c r="N252" s="380">
        <v>0.9998</v>
      </c>
      <c r="O252" s="64"/>
      <c r="P252" s="287"/>
    </row>
    <row r="253" ht="14.25" customHeight="1">
      <c r="B253" s="284" t="s">
        <v>596</v>
      </c>
      <c r="C253" s="392"/>
      <c r="D253" s="62"/>
      <c r="E253" s="63"/>
      <c r="F253" s="62"/>
      <c r="G253" s="63"/>
      <c r="H253" s="62"/>
      <c r="I253" s="211"/>
      <c r="J253" s="68"/>
      <c r="K253" s="64"/>
      <c r="L253" s="68"/>
      <c r="M253" s="64"/>
      <c r="N253" s="230">
        <f t="shared" ref="N253:N271" si="28">sum(J253:M253)</f>
        <v>0</v>
      </c>
      <c r="O253" s="64"/>
      <c r="P253" s="287"/>
    </row>
    <row r="254" ht="14.25" customHeight="1">
      <c r="B254" s="396"/>
      <c r="C254" s="327" t="s">
        <v>349</v>
      </c>
      <c r="D254" s="62"/>
      <c r="E254" s="63"/>
      <c r="F254" s="62"/>
      <c r="G254" s="63"/>
      <c r="H254" s="62"/>
      <c r="I254" s="213"/>
      <c r="J254" s="68">
        <v>0.0</v>
      </c>
      <c r="K254" s="364">
        <v>0.0</v>
      </c>
      <c r="L254" s="68"/>
      <c r="M254" s="64"/>
      <c r="N254" s="230">
        <f t="shared" si="28"/>
        <v>0</v>
      </c>
      <c r="O254" s="64"/>
      <c r="P254" s="287"/>
    </row>
    <row r="255" ht="14.25" customHeight="1">
      <c r="B255" s="396"/>
      <c r="C255" s="308" t="s">
        <v>597</v>
      </c>
      <c r="D255" s="62"/>
      <c r="E255" s="63"/>
      <c r="F255" s="62"/>
      <c r="G255" s="63"/>
      <c r="H255" s="62"/>
      <c r="I255" s="211"/>
      <c r="J255" s="68">
        <v>0.0</v>
      </c>
      <c r="K255" s="364">
        <v>0.0</v>
      </c>
      <c r="L255" s="68"/>
      <c r="M255" s="64"/>
      <c r="N255" s="230">
        <f t="shared" si="28"/>
        <v>0</v>
      </c>
      <c r="O255" s="64"/>
      <c r="P255" s="287"/>
    </row>
    <row r="256" ht="60.0" customHeight="1">
      <c r="B256" s="396"/>
      <c r="C256" s="308" t="s">
        <v>598</v>
      </c>
      <c r="D256" s="62"/>
      <c r="E256" s="64"/>
      <c r="F256" s="68"/>
      <c r="G256" s="64"/>
      <c r="H256" s="68"/>
      <c r="I256" s="215"/>
      <c r="J256" s="140">
        <v>0.0</v>
      </c>
      <c r="K256" s="311">
        <v>0.0</v>
      </c>
      <c r="L256" s="140"/>
      <c r="M256" s="139"/>
      <c r="N256" s="230">
        <f t="shared" si="28"/>
        <v>0</v>
      </c>
      <c r="O256" s="139"/>
      <c r="P256" s="202" t="s">
        <v>599</v>
      </c>
    </row>
    <row r="257" ht="14.25" customHeight="1">
      <c r="A257" s="105"/>
      <c r="B257" s="284" t="s">
        <v>600</v>
      </c>
      <c r="C257" s="392"/>
      <c r="D257" s="108"/>
      <c r="E257" s="465"/>
      <c r="F257" s="465"/>
      <c r="G257" s="465"/>
      <c r="H257" s="466"/>
      <c r="I257" s="467"/>
      <c r="J257" s="468"/>
      <c r="K257" s="469">
        <v>0.0</v>
      </c>
      <c r="L257" s="163"/>
      <c r="M257" s="163"/>
      <c r="N257" s="230">
        <f t="shared" si="28"/>
        <v>0</v>
      </c>
      <c r="O257" s="163">
        <v>1.12</v>
      </c>
      <c r="P257" s="320"/>
      <c r="Q257" s="217"/>
      <c r="R257" s="217"/>
      <c r="S257" s="217"/>
      <c r="T257" s="217"/>
      <c r="U257" s="217"/>
      <c r="V257" s="217" t="s">
        <v>282</v>
      </c>
      <c r="W257" s="105"/>
      <c r="X257" s="105"/>
      <c r="Y257" s="105"/>
      <c r="Z257" s="105"/>
    </row>
    <row r="258" ht="14.25" customHeight="1">
      <c r="A258" s="105"/>
      <c r="B258" s="396"/>
      <c r="C258" s="327" t="s">
        <v>601</v>
      </c>
      <c r="D258" s="108"/>
      <c r="E258" s="163"/>
      <c r="F258" s="216"/>
      <c r="G258" s="470"/>
      <c r="H258" s="404"/>
      <c r="I258" s="404"/>
      <c r="J258" s="471">
        <v>210.0</v>
      </c>
      <c r="K258" s="472"/>
      <c r="L258" s="163"/>
      <c r="M258" s="163"/>
      <c r="N258" s="230">
        <f t="shared" si="28"/>
        <v>210</v>
      </c>
      <c r="O258" s="101"/>
      <c r="P258" s="101"/>
      <c r="Q258" s="217"/>
      <c r="R258" s="217"/>
      <c r="S258" s="217"/>
      <c r="T258" s="217"/>
      <c r="U258" s="217"/>
      <c r="V258" s="217"/>
      <c r="W258" s="105"/>
      <c r="X258" s="105"/>
      <c r="Y258" s="105"/>
      <c r="Z258" s="105"/>
    </row>
    <row r="259" ht="14.25" customHeight="1">
      <c r="A259" s="105"/>
      <c r="B259" s="396"/>
      <c r="C259" s="308" t="s">
        <v>602</v>
      </c>
      <c r="D259" s="108"/>
      <c r="E259" s="473">
        <v>15.0</v>
      </c>
      <c r="F259" s="474">
        <v>15.0</v>
      </c>
      <c r="G259" s="475">
        <v>15.0</v>
      </c>
      <c r="H259" s="476">
        <v>15.0</v>
      </c>
      <c r="I259" s="476">
        <v>60.0</v>
      </c>
      <c r="J259" s="477">
        <v>29.0</v>
      </c>
      <c r="K259" s="478">
        <v>23.0</v>
      </c>
      <c r="L259" s="404"/>
      <c r="M259" s="163"/>
      <c r="N259" s="230">
        <f t="shared" si="28"/>
        <v>52</v>
      </c>
      <c r="O259" s="479">
        <f t="shared" ref="O259:O264" si="29">N259-I259</f>
        <v>-8</v>
      </c>
      <c r="P259" s="101"/>
      <c r="Q259" s="217"/>
      <c r="R259" s="217"/>
      <c r="S259" s="217"/>
      <c r="T259" s="217"/>
      <c r="U259" s="217"/>
      <c r="V259" s="217" t="s">
        <v>282</v>
      </c>
      <c r="W259" s="105"/>
      <c r="X259" s="105"/>
      <c r="Y259" s="105"/>
      <c r="Z259" s="105"/>
    </row>
    <row r="260" ht="14.25" customHeight="1">
      <c r="B260" s="396"/>
      <c r="C260" s="308" t="s">
        <v>603</v>
      </c>
      <c r="D260" s="62"/>
      <c r="E260" s="473">
        <v>1.0</v>
      </c>
      <c r="F260" s="474">
        <v>1.0</v>
      </c>
      <c r="G260" s="475">
        <v>1.0</v>
      </c>
      <c r="H260" s="476">
        <v>2.0</v>
      </c>
      <c r="I260" s="476">
        <v>5.0</v>
      </c>
      <c r="J260" s="477">
        <v>3.0</v>
      </c>
      <c r="K260" s="478">
        <v>4.0</v>
      </c>
      <c r="L260" s="404"/>
      <c r="M260" s="114"/>
      <c r="N260" s="230">
        <f t="shared" si="28"/>
        <v>7</v>
      </c>
      <c r="O260" s="479">
        <f t="shared" si="29"/>
        <v>2</v>
      </c>
      <c r="P260" s="101"/>
    </row>
    <row r="261" ht="14.25" customHeight="1">
      <c r="B261" s="396"/>
      <c r="C261" s="308" t="s">
        <v>604</v>
      </c>
      <c r="D261" s="62"/>
      <c r="E261" s="480">
        <v>70.0</v>
      </c>
      <c r="F261" s="481">
        <v>70.0</v>
      </c>
      <c r="G261" s="480">
        <v>70.0</v>
      </c>
      <c r="H261" s="481">
        <v>70.0</v>
      </c>
      <c r="I261" s="480">
        <v>280.0</v>
      </c>
      <c r="J261" s="477">
        <v>178.0</v>
      </c>
      <c r="K261" s="478">
        <v>140.0</v>
      </c>
      <c r="L261" s="404"/>
      <c r="M261" s="114"/>
      <c r="N261" s="230">
        <f t="shared" si="28"/>
        <v>318</v>
      </c>
      <c r="O261" s="479">
        <f t="shared" si="29"/>
        <v>38</v>
      </c>
      <c r="P261" s="101"/>
    </row>
    <row r="262" ht="14.25" customHeight="1">
      <c r="B262" s="284" t="s">
        <v>605</v>
      </c>
      <c r="C262" s="392"/>
      <c r="D262" s="62"/>
      <c r="E262" s="63"/>
      <c r="F262" s="62"/>
      <c r="G262" s="63"/>
      <c r="H262" s="62"/>
      <c r="I262" s="63"/>
      <c r="J262" s="68"/>
      <c r="K262" s="64"/>
      <c r="L262" s="68"/>
      <c r="M262" s="64"/>
      <c r="N262" s="230">
        <f t="shared" si="28"/>
        <v>0</v>
      </c>
      <c r="O262" s="479">
        <f t="shared" si="29"/>
        <v>0</v>
      </c>
      <c r="P262" s="277"/>
    </row>
    <row r="263" ht="14.25" customHeight="1">
      <c r="B263" s="396"/>
      <c r="C263" s="327" t="s">
        <v>606</v>
      </c>
      <c r="D263" s="62"/>
      <c r="E263" s="63"/>
      <c r="F263" s="62"/>
      <c r="G263" s="63"/>
      <c r="H263" s="62">
        <v>10.0</v>
      </c>
      <c r="I263" s="63">
        <v>10.0</v>
      </c>
      <c r="J263" s="68">
        <v>2.0</v>
      </c>
      <c r="K263" s="364">
        <v>3.0</v>
      </c>
      <c r="L263" s="68"/>
      <c r="M263" s="64"/>
      <c r="N263" s="230">
        <f t="shared" si="28"/>
        <v>5</v>
      </c>
      <c r="O263" s="479">
        <f t="shared" si="29"/>
        <v>-5</v>
      </c>
      <c r="P263" s="277"/>
    </row>
    <row r="264" ht="14.25" customHeight="1">
      <c r="B264" s="396"/>
      <c r="C264" s="327" t="s">
        <v>607</v>
      </c>
      <c r="D264" s="62"/>
      <c r="E264" s="63"/>
      <c r="F264" s="62">
        <v>1.0</v>
      </c>
      <c r="G264" s="63"/>
      <c r="H264" s="62">
        <v>1.0</v>
      </c>
      <c r="I264" s="63">
        <v>2.0</v>
      </c>
      <c r="J264" s="68">
        <v>0.0</v>
      </c>
      <c r="K264" s="364">
        <v>1.0</v>
      </c>
      <c r="L264" s="68"/>
      <c r="M264" s="64"/>
      <c r="N264" s="230">
        <f t="shared" si="28"/>
        <v>1</v>
      </c>
      <c r="O264" s="479">
        <f t="shared" si="29"/>
        <v>-1</v>
      </c>
      <c r="P264" s="277"/>
    </row>
    <row r="265" ht="14.25" customHeight="1">
      <c r="B265" s="389"/>
      <c r="C265" s="396"/>
      <c r="D265" s="62"/>
      <c r="E265" s="63"/>
      <c r="F265" s="62"/>
      <c r="G265" s="63"/>
      <c r="H265" s="62"/>
      <c r="I265" s="63"/>
      <c r="J265" s="68">
        <v>0.0</v>
      </c>
      <c r="K265" s="64"/>
      <c r="L265" s="68"/>
      <c r="M265" s="64"/>
      <c r="N265" s="230">
        <f t="shared" si="28"/>
        <v>0</v>
      </c>
      <c r="O265" s="64"/>
      <c r="P265" s="277"/>
    </row>
    <row r="266" ht="14.25" customHeight="1">
      <c r="A266" s="105"/>
      <c r="B266" s="482" t="s">
        <v>361</v>
      </c>
      <c r="C266" s="483"/>
      <c r="D266" s="108"/>
      <c r="E266" s="139"/>
      <c r="F266" s="140"/>
      <c r="G266" s="139"/>
      <c r="H266" s="140"/>
      <c r="I266" s="139"/>
      <c r="J266" s="140"/>
      <c r="K266" s="139"/>
      <c r="L266" s="140"/>
      <c r="M266" s="139"/>
      <c r="N266" s="230">
        <f t="shared" si="28"/>
        <v>0</v>
      </c>
      <c r="O266" s="139"/>
      <c r="P266" s="325"/>
      <c r="Q266" s="105"/>
      <c r="R266" s="105"/>
      <c r="S266" s="105"/>
      <c r="T266" s="105"/>
      <c r="U266" s="105"/>
      <c r="V266" s="105"/>
      <c r="W266" s="105"/>
      <c r="X266" s="105"/>
      <c r="Y266" s="105"/>
      <c r="Z266" s="105"/>
    </row>
    <row r="267" ht="14.25" customHeight="1">
      <c r="A267" s="105"/>
      <c r="B267" s="284" t="s">
        <v>608</v>
      </c>
      <c r="C267" s="392"/>
      <c r="D267" s="108"/>
      <c r="E267" s="139"/>
      <c r="F267" s="140"/>
      <c r="G267" s="139"/>
      <c r="H267" s="140"/>
      <c r="I267" s="139"/>
      <c r="J267" s="140"/>
      <c r="K267" s="139"/>
      <c r="L267" s="140"/>
      <c r="M267" s="139"/>
      <c r="N267" s="230">
        <f t="shared" si="28"/>
        <v>0</v>
      </c>
      <c r="O267" s="139"/>
      <c r="P267" s="484"/>
      <c r="Q267" s="105"/>
      <c r="R267" s="105"/>
      <c r="S267" s="105"/>
      <c r="T267" s="105"/>
      <c r="U267" s="105"/>
      <c r="V267" s="105"/>
      <c r="W267" s="105"/>
      <c r="X267" s="105"/>
      <c r="Y267" s="105"/>
      <c r="Z267" s="105"/>
    </row>
    <row r="268" ht="14.25" customHeight="1">
      <c r="A268" s="105"/>
      <c r="B268" s="485"/>
      <c r="C268" s="327" t="s">
        <v>363</v>
      </c>
      <c r="D268" s="108"/>
      <c r="E268" s="139"/>
      <c r="F268" s="140"/>
      <c r="G268" s="139"/>
      <c r="H268" s="140"/>
      <c r="I268" s="139"/>
      <c r="J268" s="140">
        <v>0.0</v>
      </c>
      <c r="K268" s="139"/>
      <c r="L268" s="140"/>
      <c r="M268" s="139"/>
      <c r="N268" s="230">
        <f t="shared" si="28"/>
        <v>0</v>
      </c>
      <c r="O268" s="139"/>
      <c r="P268" s="325"/>
      <c r="Q268" s="105"/>
      <c r="R268" s="105"/>
      <c r="S268" s="105"/>
      <c r="T268" s="105"/>
      <c r="U268" s="105"/>
      <c r="V268" s="105"/>
      <c r="W268" s="105"/>
      <c r="X268" s="105"/>
      <c r="Y268" s="105"/>
      <c r="Z268" s="105"/>
    </row>
    <row r="269" ht="14.25" customHeight="1">
      <c r="A269" s="105"/>
      <c r="B269" s="486"/>
      <c r="C269" s="308" t="s">
        <v>609</v>
      </c>
      <c r="D269" s="108"/>
      <c r="E269" s="139"/>
      <c r="F269" s="140"/>
      <c r="G269" s="139"/>
      <c r="H269" s="140"/>
      <c r="I269" s="139"/>
      <c r="J269" s="140">
        <v>8.0</v>
      </c>
      <c r="K269" s="311">
        <v>5.0</v>
      </c>
      <c r="L269" s="140"/>
      <c r="M269" s="139"/>
      <c r="N269" s="230">
        <f t="shared" si="28"/>
        <v>13</v>
      </c>
      <c r="O269" s="139"/>
      <c r="P269" s="325"/>
      <c r="Q269" s="105"/>
      <c r="R269" s="105"/>
      <c r="S269" s="105"/>
      <c r="T269" s="105"/>
      <c r="U269" s="105"/>
      <c r="V269" s="105"/>
      <c r="W269" s="105"/>
      <c r="X269" s="105"/>
      <c r="Y269" s="105"/>
      <c r="Z269" s="105"/>
    </row>
    <row r="270" ht="14.25" customHeight="1">
      <c r="A270" s="105"/>
      <c r="B270" s="485"/>
      <c r="C270" s="327" t="s">
        <v>364</v>
      </c>
      <c r="D270" s="108"/>
      <c r="E270" s="139"/>
      <c r="F270" s="140"/>
      <c r="G270" s="139"/>
      <c r="H270" s="140"/>
      <c r="I270" s="139"/>
      <c r="J270" s="140">
        <v>0.0</v>
      </c>
      <c r="K270" s="139"/>
      <c r="L270" s="140"/>
      <c r="M270" s="139"/>
      <c r="N270" s="230">
        <f t="shared" si="28"/>
        <v>0</v>
      </c>
      <c r="O270" s="98">
        <f>N270-I270</f>
        <v>0</v>
      </c>
      <c r="P270" s="487"/>
      <c r="Q270" s="105"/>
      <c r="R270" s="105"/>
      <c r="S270" s="105"/>
      <c r="T270" s="105"/>
      <c r="U270" s="105"/>
      <c r="V270" s="105"/>
      <c r="W270" s="105"/>
      <c r="X270" s="105"/>
      <c r="Y270" s="105"/>
      <c r="Z270" s="105"/>
    </row>
    <row r="271" ht="14.25" customHeight="1">
      <c r="A271" s="105"/>
      <c r="B271" s="486"/>
      <c r="C271" s="308" t="s">
        <v>610</v>
      </c>
      <c r="D271" s="108"/>
      <c r="E271" s="139"/>
      <c r="F271" s="140"/>
      <c r="G271" s="139"/>
      <c r="H271" s="140"/>
      <c r="I271" s="139"/>
      <c r="J271" s="140">
        <v>0.0</v>
      </c>
      <c r="K271" s="139"/>
      <c r="L271" s="140"/>
      <c r="M271" s="139"/>
      <c r="N271" s="230">
        <f t="shared" si="28"/>
        <v>0</v>
      </c>
      <c r="O271" s="139"/>
      <c r="P271" s="320"/>
      <c r="Q271" s="105"/>
      <c r="R271" s="105"/>
      <c r="S271" s="105"/>
      <c r="T271" s="105"/>
      <c r="U271" s="105"/>
      <c r="V271" s="105"/>
      <c r="W271" s="105"/>
      <c r="X271" s="105"/>
      <c r="Y271" s="105"/>
      <c r="Z271" s="105"/>
    </row>
    <row r="272" ht="16.5" customHeight="1">
      <c r="A272" s="105"/>
      <c r="B272" s="485"/>
      <c r="C272" s="327" t="s">
        <v>365</v>
      </c>
      <c r="D272" s="108"/>
      <c r="E272" s="139"/>
      <c r="F272" s="139"/>
      <c r="G272" s="139"/>
      <c r="H272" s="139"/>
      <c r="I272" s="139"/>
      <c r="J272" s="187">
        <v>1.0</v>
      </c>
      <c r="K272" s="488">
        <v>1.0</v>
      </c>
      <c r="L272" s="140"/>
      <c r="M272" s="139"/>
      <c r="N272" s="380">
        <v>1.0</v>
      </c>
      <c r="O272" s="139"/>
      <c r="P272" s="487"/>
      <c r="Q272" s="105"/>
      <c r="R272" s="105"/>
      <c r="S272" s="105"/>
      <c r="T272" s="105"/>
      <c r="U272" s="105"/>
      <c r="V272" s="105"/>
      <c r="W272" s="105"/>
      <c r="X272" s="105"/>
      <c r="Y272" s="105"/>
      <c r="Z272" s="105"/>
    </row>
    <row r="273" ht="15.0" customHeight="1">
      <c r="B273" s="486"/>
      <c r="C273" s="308" t="s">
        <v>611</v>
      </c>
      <c r="D273" s="62"/>
      <c r="E273" s="149"/>
      <c r="F273" s="149"/>
      <c r="G273" s="149"/>
      <c r="H273" s="149"/>
      <c r="I273" s="149"/>
      <c r="J273" s="68">
        <v>5596.0</v>
      </c>
      <c r="K273" s="364">
        <v>2325.0</v>
      </c>
      <c r="L273" s="68"/>
      <c r="M273" s="64"/>
      <c r="N273" s="230">
        <f t="shared" ref="N273:N295" si="30">sum(J273:M273)</f>
        <v>7921</v>
      </c>
      <c r="O273" s="64"/>
      <c r="P273" s="277"/>
    </row>
    <row r="274" ht="14.25" customHeight="1">
      <c r="B274" s="284" t="s">
        <v>612</v>
      </c>
      <c r="C274" s="392"/>
      <c r="D274" s="108"/>
      <c r="E274" s="149"/>
      <c r="F274" s="149"/>
      <c r="G274" s="149"/>
      <c r="H274" s="149"/>
      <c r="I274" s="149"/>
      <c r="J274" s="140"/>
      <c r="K274" s="139"/>
      <c r="L274" s="203"/>
      <c r="M274" s="93"/>
      <c r="N274" s="230">
        <f t="shared" si="30"/>
        <v>0</v>
      </c>
      <c r="O274" s="139"/>
      <c r="P274" s="325"/>
    </row>
    <row r="275" ht="14.25" customHeight="1">
      <c r="B275" s="396"/>
      <c r="C275" s="327" t="s">
        <v>613</v>
      </c>
      <c r="D275" s="62"/>
      <c r="E275" s="149"/>
      <c r="F275" s="149"/>
      <c r="G275" s="149"/>
      <c r="H275" s="149"/>
      <c r="I275" s="149"/>
      <c r="J275" s="68">
        <v>1.0</v>
      </c>
      <c r="K275" s="64"/>
      <c r="L275" s="68"/>
      <c r="M275" s="64"/>
      <c r="N275" s="230">
        <f t="shared" si="30"/>
        <v>1</v>
      </c>
      <c r="O275" s="64"/>
      <c r="P275" s="277"/>
    </row>
    <row r="276" ht="14.25" customHeight="1">
      <c r="B276" s="396"/>
      <c r="C276" s="327" t="s">
        <v>614</v>
      </c>
      <c r="D276" s="108"/>
      <c r="E276" s="149"/>
      <c r="F276" s="149"/>
      <c r="G276" s="149"/>
      <c r="H276" s="149"/>
      <c r="I276" s="149"/>
      <c r="J276" s="140">
        <v>7.0</v>
      </c>
      <c r="K276" s="311">
        <v>3.0</v>
      </c>
      <c r="L276" s="203"/>
      <c r="M276" s="93"/>
      <c r="N276" s="230">
        <f t="shared" si="30"/>
        <v>10</v>
      </c>
      <c r="O276" s="139"/>
      <c r="P276" s="325"/>
    </row>
    <row r="277" ht="14.25" customHeight="1">
      <c r="B277" s="396"/>
      <c r="C277" s="327" t="s">
        <v>615</v>
      </c>
      <c r="D277" s="62"/>
      <c r="E277" s="149"/>
      <c r="F277" s="149"/>
      <c r="G277" s="149"/>
      <c r="H277" s="149"/>
      <c r="I277" s="149"/>
      <c r="J277" s="68">
        <v>7.0</v>
      </c>
      <c r="K277" s="364">
        <v>1.0</v>
      </c>
      <c r="L277" s="68"/>
      <c r="M277" s="64"/>
      <c r="N277" s="230">
        <f t="shared" si="30"/>
        <v>8</v>
      </c>
      <c r="O277" s="64"/>
      <c r="P277" s="277"/>
    </row>
    <row r="278" ht="14.25" customHeight="1">
      <c r="B278" s="396"/>
      <c r="C278" s="327" t="s">
        <v>616</v>
      </c>
      <c r="D278" s="108"/>
      <c r="E278" s="149"/>
      <c r="F278" s="149"/>
      <c r="G278" s="149"/>
      <c r="H278" s="149"/>
      <c r="I278" s="149"/>
      <c r="J278" s="140">
        <v>5.0</v>
      </c>
      <c r="K278" s="311">
        <v>1.0</v>
      </c>
      <c r="L278" s="203"/>
      <c r="M278" s="93"/>
      <c r="N278" s="230">
        <f t="shared" si="30"/>
        <v>6</v>
      </c>
      <c r="O278" s="139"/>
      <c r="P278" s="325"/>
    </row>
    <row r="279" ht="14.25" customHeight="1">
      <c r="B279" s="396"/>
      <c r="C279" s="327" t="s">
        <v>617</v>
      </c>
      <c r="D279" s="62"/>
      <c r="E279" s="149"/>
      <c r="F279" s="149"/>
      <c r="G279" s="149"/>
      <c r="H279" s="149"/>
      <c r="I279" s="149"/>
      <c r="J279" s="68">
        <v>1.0</v>
      </c>
      <c r="K279" s="364">
        <v>0.0</v>
      </c>
      <c r="L279" s="68"/>
      <c r="M279" s="64"/>
      <c r="N279" s="230">
        <f t="shared" si="30"/>
        <v>1</v>
      </c>
      <c r="O279" s="64"/>
      <c r="P279" s="277"/>
    </row>
    <row r="280" ht="14.25" customHeight="1">
      <c r="B280" s="396"/>
      <c r="C280" s="327" t="s">
        <v>618</v>
      </c>
      <c r="D280" s="108"/>
      <c r="E280" s="149"/>
      <c r="F280" s="149"/>
      <c r="G280" s="149"/>
      <c r="H280" s="149"/>
      <c r="I280" s="149"/>
      <c r="J280" s="140">
        <v>0.0</v>
      </c>
      <c r="K280" s="311">
        <v>0.0</v>
      </c>
      <c r="L280" s="203"/>
      <c r="M280" s="93"/>
      <c r="N280" s="230">
        <f t="shared" si="30"/>
        <v>0</v>
      </c>
      <c r="O280" s="139"/>
      <c r="P280" s="325"/>
    </row>
    <row r="281" ht="14.25" customHeight="1">
      <c r="B281" s="396"/>
      <c r="C281" s="327" t="s">
        <v>619</v>
      </c>
      <c r="D281" s="62"/>
      <c r="E281" s="149"/>
      <c r="F281" s="149"/>
      <c r="G281" s="149"/>
      <c r="H281" s="149"/>
      <c r="I281" s="149"/>
      <c r="J281" s="68">
        <v>1.0</v>
      </c>
      <c r="K281" s="364">
        <v>1.0</v>
      </c>
      <c r="L281" s="68"/>
      <c r="M281" s="64"/>
      <c r="N281" s="230">
        <f t="shared" si="30"/>
        <v>2</v>
      </c>
      <c r="O281" s="64"/>
      <c r="P281" s="277"/>
    </row>
    <row r="282" ht="14.25" customHeight="1">
      <c r="B282" s="396"/>
      <c r="C282" s="327" t="s">
        <v>620</v>
      </c>
      <c r="D282" s="108"/>
      <c r="E282" s="149"/>
      <c r="F282" s="149"/>
      <c r="G282" s="149"/>
      <c r="H282" s="149"/>
      <c r="I282" s="149"/>
      <c r="J282" s="140">
        <v>1.0</v>
      </c>
      <c r="K282" s="311">
        <v>0.0</v>
      </c>
      <c r="L282" s="489"/>
      <c r="M282" s="93"/>
      <c r="N282" s="230">
        <f t="shared" si="30"/>
        <v>1</v>
      </c>
      <c r="O282" s="139"/>
      <c r="P282" s="325"/>
    </row>
    <row r="283" ht="14.25" customHeight="1">
      <c r="B283" s="396"/>
      <c r="C283" s="327" t="s">
        <v>621</v>
      </c>
      <c r="D283" s="62"/>
      <c r="E283" s="149"/>
      <c r="F283" s="149"/>
      <c r="G283" s="149"/>
      <c r="H283" s="149"/>
      <c r="I283" s="149"/>
      <c r="J283" s="68">
        <v>1.0</v>
      </c>
      <c r="K283" s="364">
        <v>0.0</v>
      </c>
      <c r="L283" s="68"/>
      <c r="M283" s="64"/>
      <c r="N283" s="230">
        <f t="shared" si="30"/>
        <v>1</v>
      </c>
      <c r="O283" s="64"/>
      <c r="P283" s="277"/>
    </row>
    <row r="284" ht="14.25" customHeight="1">
      <c r="B284" s="396"/>
      <c r="C284" s="327" t="s">
        <v>622</v>
      </c>
      <c r="D284" s="108"/>
      <c r="E284" s="78"/>
      <c r="F284" s="108"/>
      <c r="G284" s="78"/>
      <c r="H284" s="188"/>
      <c r="I284" s="163"/>
      <c r="J284" s="140">
        <v>1.0</v>
      </c>
      <c r="K284" s="311">
        <v>0.0</v>
      </c>
      <c r="L284" s="203"/>
      <c r="M284" s="139"/>
      <c r="N284" s="230">
        <f t="shared" si="30"/>
        <v>1</v>
      </c>
      <c r="O284" s="225"/>
      <c r="P284" s="325"/>
    </row>
    <row r="285" ht="14.25" customHeight="1">
      <c r="A285" s="105"/>
      <c r="B285" s="396"/>
      <c r="C285" s="327" t="s">
        <v>623</v>
      </c>
      <c r="D285" s="108"/>
      <c r="E285" s="139"/>
      <c r="F285" s="140"/>
      <c r="G285" s="139"/>
      <c r="H285" s="140"/>
      <c r="I285" s="139"/>
      <c r="J285" s="140"/>
      <c r="K285" s="311">
        <v>0.0</v>
      </c>
      <c r="L285" s="140"/>
      <c r="M285" s="139"/>
      <c r="N285" s="230">
        <f t="shared" si="30"/>
        <v>0</v>
      </c>
      <c r="O285" s="98">
        <f>N285-I285</f>
        <v>0</v>
      </c>
      <c r="P285" s="325"/>
      <c r="Q285" s="105"/>
      <c r="R285" s="105"/>
      <c r="S285" s="105"/>
      <c r="T285" s="105"/>
      <c r="U285" s="105"/>
      <c r="V285" s="105"/>
      <c r="W285" s="105"/>
      <c r="X285" s="105"/>
      <c r="Y285" s="105"/>
      <c r="Z285" s="105"/>
    </row>
    <row r="286" ht="14.25" customHeight="1">
      <c r="A286" s="105"/>
      <c r="B286" s="396"/>
      <c r="C286" s="327" t="s">
        <v>624</v>
      </c>
      <c r="D286" s="108"/>
      <c r="E286" s="78"/>
      <c r="F286" s="108"/>
      <c r="G286" s="78"/>
      <c r="H286" s="188"/>
      <c r="I286" s="163"/>
      <c r="J286" s="140"/>
      <c r="K286" s="311">
        <v>0.0</v>
      </c>
      <c r="L286" s="489"/>
      <c r="M286" s="139"/>
      <c r="N286" s="230">
        <f t="shared" si="30"/>
        <v>0</v>
      </c>
      <c r="O286" s="139"/>
      <c r="P286" s="325"/>
      <c r="Q286" s="105"/>
      <c r="R286" s="105"/>
      <c r="S286" s="105"/>
      <c r="T286" s="105"/>
      <c r="U286" s="105"/>
      <c r="V286" s="105"/>
      <c r="W286" s="105"/>
      <c r="X286" s="105"/>
      <c r="Y286" s="105"/>
      <c r="Z286" s="105"/>
    </row>
    <row r="287" ht="14.25" customHeight="1">
      <c r="A287" s="105"/>
      <c r="B287" s="396"/>
      <c r="C287" s="327" t="s">
        <v>625</v>
      </c>
      <c r="D287" s="108"/>
      <c r="E287" s="139"/>
      <c r="F287" s="139"/>
      <c r="G287" s="139"/>
      <c r="H287" s="139"/>
      <c r="I287" s="139"/>
      <c r="J287" s="140"/>
      <c r="K287" s="311">
        <v>0.0</v>
      </c>
      <c r="L287" s="203"/>
      <c r="M287" s="93"/>
      <c r="N287" s="230">
        <f t="shared" si="30"/>
        <v>0</v>
      </c>
      <c r="O287" s="139"/>
      <c r="P287" s="325"/>
      <c r="Q287" s="105"/>
      <c r="R287" s="105"/>
      <c r="S287" s="105"/>
      <c r="T287" s="105"/>
      <c r="U287" s="105"/>
      <c r="V287" s="105"/>
      <c r="W287" s="105"/>
      <c r="X287" s="105"/>
      <c r="Y287" s="105"/>
      <c r="Z287" s="105"/>
    </row>
    <row r="288" ht="14.25" customHeight="1">
      <c r="A288" s="105"/>
      <c r="B288" s="396"/>
      <c r="C288" s="327" t="s">
        <v>626</v>
      </c>
      <c r="D288" s="108"/>
      <c r="E288" s="169"/>
      <c r="F288" s="203"/>
      <c r="G288" s="169"/>
      <c r="H288" s="203"/>
      <c r="I288" s="163"/>
      <c r="J288" s="188">
        <v>92.0</v>
      </c>
      <c r="K288" s="490">
        <v>23.0</v>
      </c>
      <c r="L288" s="216"/>
      <c r="M288" s="169"/>
      <c r="N288" s="230">
        <f t="shared" si="30"/>
        <v>115</v>
      </c>
      <c r="O288" s="225"/>
      <c r="P288" s="325"/>
      <c r="Q288" s="105"/>
      <c r="R288" s="105"/>
      <c r="S288" s="105"/>
      <c r="T288" s="105"/>
      <c r="U288" s="105"/>
      <c r="V288" s="105"/>
      <c r="W288" s="105"/>
      <c r="X288" s="105"/>
      <c r="Y288" s="105"/>
      <c r="Z288" s="105"/>
    </row>
    <row r="289" ht="14.25" customHeight="1">
      <c r="B289" s="396"/>
      <c r="C289" s="327" t="s">
        <v>627</v>
      </c>
      <c r="D289" s="62"/>
      <c r="E289" s="278"/>
      <c r="F289" s="279"/>
      <c r="G289" s="278"/>
      <c r="H289" s="279"/>
      <c r="I289" s="278"/>
      <c r="J289" s="68">
        <v>6.0</v>
      </c>
      <c r="K289" s="364">
        <v>11.0</v>
      </c>
      <c r="L289" s="68"/>
      <c r="M289" s="64"/>
      <c r="N289" s="230">
        <f t="shared" si="30"/>
        <v>17</v>
      </c>
      <c r="O289" s="64"/>
      <c r="P289" s="277"/>
    </row>
    <row r="290" ht="14.25" customHeight="1">
      <c r="B290" s="396"/>
      <c r="C290" s="327" t="s">
        <v>628</v>
      </c>
      <c r="D290" s="62"/>
      <c r="E290" s="275"/>
      <c r="F290" s="276"/>
      <c r="G290" s="275"/>
      <c r="H290" s="276"/>
      <c r="I290" s="275"/>
      <c r="J290" s="68"/>
      <c r="K290" s="364">
        <v>0.0</v>
      </c>
      <c r="L290" s="68"/>
      <c r="M290" s="64"/>
      <c r="N290" s="230">
        <f t="shared" si="30"/>
        <v>0</v>
      </c>
      <c r="O290" s="64"/>
      <c r="P290" s="277"/>
    </row>
    <row r="291" ht="14.25" customHeight="1">
      <c r="A291" s="105"/>
      <c r="B291" s="396"/>
      <c r="C291" s="327" t="s">
        <v>629</v>
      </c>
      <c r="D291" s="108"/>
      <c r="E291" s="101"/>
      <c r="F291" s="188"/>
      <c r="G291" s="101"/>
      <c r="H291" s="188"/>
      <c r="I291" s="101"/>
      <c r="J291" s="140"/>
      <c r="K291" s="490">
        <v>0.0</v>
      </c>
      <c r="L291" s="140"/>
      <c r="M291" s="139"/>
      <c r="N291" s="230">
        <f t="shared" si="30"/>
        <v>0</v>
      </c>
      <c r="O291" s="98">
        <f>N291-I291</f>
        <v>0</v>
      </c>
      <c r="P291" s="325"/>
      <c r="Q291" s="105"/>
      <c r="R291" s="105"/>
      <c r="S291" s="105"/>
      <c r="T291" s="105"/>
      <c r="U291" s="105"/>
      <c r="V291" s="105"/>
      <c r="W291" s="105"/>
      <c r="X291" s="105"/>
      <c r="Y291" s="105"/>
      <c r="Z291" s="105"/>
    </row>
    <row r="292" ht="14.25" customHeight="1">
      <c r="A292" s="105"/>
      <c r="B292" s="396"/>
      <c r="C292" s="327" t="s">
        <v>630</v>
      </c>
      <c r="D292" s="108"/>
      <c r="E292" s="101"/>
      <c r="F292" s="188"/>
      <c r="G292" s="101"/>
      <c r="H292" s="188"/>
      <c r="I292" s="101"/>
      <c r="J292" s="140"/>
      <c r="K292" s="490">
        <v>0.0</v>
      </c>
      <c r="L292" s="140"/>
      <c r="M292" s="139"/>
      <c r="N292" s="230">
        <f t="shared" si="30"/>
        <v>0</v>
      </c>
      <c r="O292" s="139"/>
      <c r="P292" s="325"/>
      <c r="Q292" s="105"/>
      <c r="R292" s="105"/>
      <c r="S292" s="105"/>
      <c r="T292" s="105"/>
      <c r="U292" s="105"/>
      <c r="V292" s="105"/>
      <c r="W292" s="105"/>
      <c r="X292" s="105"/>
      <c r="Y292" s="105"/>
      <c r="Z292" s="105"/>
    </row>
    <row r="293" ht="14.25" customHeight="1">
      <c r="A293" s="105"/>
      <c r="B293" s="396"/>
      <c r="C293" s="327" t="s">
        <v>631</v>
      </c>
      <c r="D293" s="108"/>
      <c r="E293" s="101"/>
      <c r="F293" s="188"/>
      <c r="G293" s="101"/>
      <c r="H293" s="188"/>
      <c r="I293" s="101"/>
      <c r="J293" s="140"/>
      <c r="K293" s="490">
        <v>0.0</v>
      </c>
      <c r="L293" s="140"/>
      <c r="M293" s="139"/>
      <c r="N293" s="230">
        <f t="shared" si="30"/>
        <v>0</v>
      </c>
      <c r="O293" s="139"/>
      <c r="P293" s="325"/>
      <c r="Q293" s="105"/>
      <c r="R293" s="105"/>
      <c r="S293" s="105"/>
      <c r="T293" s="105"/>
      <c r="U293" s="105"/>
      <c r="V293" s="105"/>
      <c r="W293" s="105"/>
      <c r="X293" s="105"/>
      <c r="Y293" s="105"/>
      <c r="Z293" s="105"/>
    </row>
    <row r="294" ht="14.25" customHeight="1">
      <c r="A294" s="105"/>
      <c r="B294" s="396"/>
      <c r="C294" s="327" t="s">
        <v>632</v>
      </c>
      <c r="D294" s="108"/>
      <c r="E294" s="176"/>
      <c r="F294" s="188"/>
      <c r="G294" s="176"/>
      <c r="H294" s="226"/>
      <c r="I294" s="176"/>
      <c r="J294" s="195"/>
      <c r="K294" s="309">
        <v>0.0</v>
      </c>
      <c r="L294" s="195"/>
      <c r="M294" s="98"/>
      <c r="N294" s="230">
        <f t="shared" si="30"/>
        <v>0</v>
      </c>
      <c r="O294" s="98">
        <f>N294-I294</f>
        <v>0</v>
      </c>
      <c r="P294" s="325"/>
      <c r="Q294" s="105"/>
      <c r="R294" s="105"/>
      <c r="S294" s="105"/>
      <c r="T294" s="105"/>
      <c r="U294" s="105"/>
      <c r="V294" s="105"/>
      <c r="W294" s="105"/>
      <c r="X294" s="105"/>
      <c r="Y294" s="105"/>
      <c r="Z294" s="105"/>
    </row>
    <row r="295" ht="14.25" customHeight="1">
      <c r="A295" s="105"/>
      <c r="B295" s="396"/>
      <c r="C295" s="327" t="s">
        <v>633</v>
      </c>
      <c r="D295" s="108"/>
      <c r="E295" s="101"/>
      <c r="F295" s="188"/>
      <c r="G295" s="176"/>
      <c r="H295" s="226"/>
      <c r="I295" s="176"/>
      <c r="J295" s="195"/>
      <c r="K295" s="309">
        <v>0.0</v>
      </c>
      <c r="L295" s="195"/>
      <c r="M295" s="98"/>
      <c r="N295" s="230">
        <f t="shared" si="30"/>
        <v>0</v>
      </c>
      <c r="O295" s="98"/>
      <c r="P295" s="295"/>
      <c r="Q295" s="105"/>
      <c r="R295" s="105"/>
      <c r="S295" s="105"/>
      <c r="T295" s="105"/>
      <c r="U295" s="105"/>
      <c r="V295" s="105"/>
      <c r="W295" s="105"/>
      <c r="X295" s="105"/>
      <c r="Y295" s="105"/>
      <c r="Z295" s="105"/>
    </row>
    <row r="296" ht="14.25" customHeight="1">
      <c r="A296" s="105"/>
      <c r="B296" s="396"/>
      <c r="C296" s="327" t="s">
        <v>634</v>
      </c>
      <c r="D296" s="108"/>
      <c r="E296" s="101"/>
      <c r="F296" s="188"/>
      <c r="G296" s="176"/>
      <c r="H296" s="226"/>
      <c r="I296" s="176"/>
      <c r="J296" s="187">
        <v>1.0</v>
      </c>
      <c r="K296" s="488">
        <v>1.0</v>
      </c>
      <c r="L296" s="195"/>
      <c r="M296" s="98"/>
      <c r="N296" s="380">
        <v>1.0</v>
      </c>
      <c r="O296" s="98"/>
      <c r="P296" s="40"/>
      <c r="Q296" s="105"/>
      <c r="R296" s="105"/>
      <c r="S296" s="105"/>
      <c r="T296" s="105"/>
      <c r="U296" s="105"/>
      <c r="V296" s="105"/>
      <c r="W296" s="105"/>
      <c r="X296" s="105"/>
      <c r="Y296" s="105"/>
      <c r="Z296" s="105"/>
    </row>
    <row r="297" ht="14.25" customHeight="1">
      <c r="A297" s="105"/>
      <c r="B297" s="396"/>
      <c r="C297" s="327" t="s">
        <v>635</v>
      </c>
      <c r="D297" s="108"/>
      <c r="E297" s="163"/>
      <c r="F297" s="216"/>
      <c r="G297" s="176"/>
      <c r="H297" s="226"/>
      <c r="I297" s="163"/>
      <c r="J297" s="140">
        <v>207.0</v>
      </c>
      <c r="K297" s="309">
        <v>0.0</v>
      </c>
      <c r="L297" s="195"/>
      <c r="M297" s="169"/>
      <c r="N297" s="230">
        <f t="shared" ref="N297:N307" si="31">sum(J297:M297)</f>
        <v>207</v>
      </c>
      <c r="O297" s="98"/>
      <c r="P297" s="40"/>
      <c r="Q297" s="105"/>
      <c r="R297" s="105"/>
      <c r="S297" s="105"/>
      <c r="T297" s="105"/>
      <c r="U297" s="105"/>
      <c r="V297" s="105"/>
      <c r="W297" s="105"/>
      <c r="X297" s="105"/>
      <c r="Y297" s="105"/>
      <c r="Z297" s="105"/>
    </row>
    <row r="298" ht="14.25" customHeight="1">
      <c r="A298" s="105"/>
      <c r="B298" s="396"/>
      <c r="C298" s="327" t="s">
        <v>636</v>
      </c>
      <c r="D298" s="108"/>
      <c r="E298" s="101"/>
      <c r="F298" s="188"/>
      <c r="G298" s="176"/>
      <c r="H298" s="226"/>
      <c r="I298" s="176"/>
      <c r="J298" s="195">
        <v>75.0</v>
      </c>
      <c r="K298" s="309">
        <v>24.0</v>
      </c>
      <c r="L298" s="195"/>
      <c r="M298" s="98"/>
      <c r="N298" s="230">
        <f t="shared" si="31"/>
        <v>99</v>
      </c>
      <c r="O298" s="98"/>
      <c r="P298" s="40"/>
      <c r="Q298" s="105"/>
      <c r="R298" s="105"/>
      <c r="S298" s="105"/>
      <c r="T298" s="105"/>
      <c r="U298" s="105"/>
      <c r="V298" s="105"/>
      <c r="W298" s="105"/>
      <c r="X298" s="105"/>
      <c r="Y298" s="105"/>
      <c r="Z298" s="105"/>
    </row>
    <row r="299" ht="14.25" customHeight="1">
      <c r="A299" s="105"/>
      <c r="B299" s="396"/>
      <c r="C299" s="330" t="s">
        <v>637</v>
      </c>
      <c r="D299" s="108"/>
      <c r="E299" s="101"/>
      <c r="F299" s="188"/>
      <c r="G299" s="176"/>
      <c r="H299" s="226"/>
      <c r="I299" s="176"/>
      <c r="J299" s="195">
        <v>70.0</v>
      </c>
      <c r="K299" s="309">
        <v>22.0</v>
      </c>
      <c r="L299" s="195"/>
      <c r="M299" s="98"/>
      <c r="N299" s="230">
        <f t="shared" si="31"/>
        <v>92</v>
      </c>
      <c r="O299" s="98">
        <f>N299-I299</f>
        <v>92</v>
      </c>
      <c r="P299" s="90"/>
      <c r="Q299" s="105"/>
      <c r="R299" s="105"/>
      <c r="S299" s="105"/>
      <c r="T299" s="105"/>
      <c r="U299" s="105"/>
      <c r="V299" s="105"/>
      <c r="W299" s="105"/>
      <c r="X299" s="105"/>
      <c r="Y299" s="105"/>
      <c r="Z299" s="105"/>
    </row>
    <row r="300" ht="14.25" customHeight="1">
      <c r="A300" s="105"/>
      <c r="B300" s="396"/>
      <c r="C300" s="330" t="s">
        <v>638</v>
      </c>
      <c r="D300" s="108"/>
      <c r="E300" s="320"/>
      <c r="F300" s="491"/>
      <c r="G300" s="320"/>
      <c r="H300" s="491"/>
      <c r="I300" s="387"/>
      <c r="J300" s="140">
        <v>2.0</v>
      </c>
      <c r="K300" s="309">
        <v>1.0</v>
      </c>
      <c r="L300" s="140"/>
      <c r="M300" s="139"/>
      <c r="N300" s="230">
        <f t="shared" si="31"/>
        <v>3</v>
      </c>
      <c r="O300" s="98"/>
      <c r="P300" s="325"/>
      <c r="Q300" s="105"/>
      <c r="R300" s="105"/>
      <c r="S300" s="105"/>
      <c r="T300" s="105"/>
      <c r="U300" s="105"/>
      <c r="V300" s="105"/>
      <c r="W300" s="105"/>
      <c r="X300" s="105"/>
      <c r="Y300" s="105"/>
      <c r="Z300" s="105"/>
    </row>
    <row r="301" ht="14.25" customHeight="1">
      <c r="B301" s="396"/>
      <c r="C301" s="330" t="s">
        <v>639</v>
      </c>
      <c r="D301" s="62"/>
      <c r="E301" s="275"/>
      <c r="F301" s="276"/>
      <c r="G301" s="275"/>
      <c r="H301" s="276"/>
      <c r="I301" s="275"/>
      <c r="J301" s="68">
        <v>3.0</v>
      </c>
      <c r="K301" s="364">
        <v>1.0</v>
      </c>
      <c r="L301" s="68"/>
      <c r="M301" s="64"/>
      <c r="N301" s="230">
        <f t="shared" si="31"/>
        <v>4</v>
      </c>
      <c r="O301" s="64"/>
      <c r="P301" s="277"/>
    </row>
    <row r="302" ht="14.25" customHeight="1">
      <c r="B302" s="396"/>
      <c r="C302" s="327" t="s">
        <v>640</v>
      </c>
      <c r="D302" s="62"/>
      <c r="E302" s="64"/>
      <c r="F302" s="68"/>
      <c r="G302" s="64"/>
      <c r="H302" s="68"/>
      <c r="I302" s="64"/>
      <c r="J302" s="68">
        <v>132.0</v>
      </c>
      <c r="K302" s="364">
        <v>123.0</v>
      </c>
      <c r="L302" s="68"/>
      <c r="M302" s="64"/>
      <c r="N302" s="230">
        <f t="shared" si="31"/>
        <v>255</v>
      </c>
      <c r="O302" s="64">
        <v>0.0</v>
      </c>
      <c r="P302" s="277"/>
    </row>
    <row r="303" ht="14.25" customHeight="1">
      <c r="B303" s="396"/>
      <c r="C303" s="330" t="s">
        <v>641</v>
      </c>
      <c r="D303" s="62"/>
      <c r="E303" s="114"/>
      <c r="F303" s="115"/>
      <c r="G303" s="114"/>
      <c r="H303" s="115"/>
      <c r="I303" s="114"/>
      <c r="J303" s="68">
        <v>116.0</v>
      </c>
      <c r="K303" s="364">
        <v>100.0</v>
      </c>
      <c r="L303" s="115"/>
      <c r="M303" s="114"/>
      <c r="N303" s="230">
        <f t="shared" si="31"/>
        <v>216</v>
      </c>
      <c r="O303" s="114">
        <v>0.0</v>
      </c>
      <c r="P303" s="277"/>
    </row>
    <row r="304" ht="14.25" customHeight="1">
      <c r="B304" s="396"/>
      <c r="C304" s="330" t="s">
        <v>642</v>
      </c>
      <c r="D304" s="62"/>
      <c r="E304" s="114"/>
      <c r="F304" s="115"/>
      <c r="G304" s="114"/>
      <c r="H304" s="115"/>
      <c r="I304" s="114"/>
      <c r="J304" s="68">
        <v>16.0</v>
      </c>
      <c r="K304" s="364">
        <v>23.0</v>
      </c>
      <c r="L304" s="115"/>
      <c r="M304" s="114"/>
      <c r="N304" s="230">
        <f t="shared" si="31"/>
        <v>39</v>
      </c>
      <c r="O304" s="114">
        <v>0.0</v>
      </c>
      <c r="P304" s="353"/>
    </row>
    <row r="305" ht="14.25" customHeight="1">
      <c r="B305" s="396"/>
      <c r="C305" s="327" t="s">
        <v>643</v>
      </c>
      <c r="D305" s="62"/>
      <c r="E305" s="114"/>
      <c r="F305" s="115"/>
      <c r="G305" s="114"/>
      <c r="H305" s="115"/>
      <c r="I305" s="115"/>
      <c r="J305" s="68">
        <v>3.0</v>
      </c>
      <c r="K305" s="364">
        <v>2.0</v>
      </c>
      <c r="L305" s="115"/>
      <c r="M305" s="114"/>
      <c r="N305" s="230">
        <f t="shared" si="31"/>
        <v>5</v>
      </c>
      <c r="O305" s="114">
        <v>0.0</v>
      </c>
      <c r="P305" s="277"/>
    </row>
    <row r="306" ht="14.25" customHeight="1">
      <c r="B306" s="284" t="s">
        <v>644</v>
      </c>
      <c r="C306" s="392"/>
      <c r="D306" s="62"/>
      <c r="E306" s="229"/>
      <c r="F306" s="230"/>
      <c r="G306" s="229"/>
      <c r="H306" s="230"/>
      <c r="I306" s="229"/>
      <c r="J306" s="230"/>
      <c r="K306" s="229"/>
      <c r="L306" s="230"/>
      <c r="M306" s="229"/>
      <c r="N306" s="230">
        <f t="shared" si="31"/>
        <v>0</v>
      </c>
      <c r="O306" s="229">
        <v>0.0</v>
      </c>
      <c r="P306" s="325"/>
    </row>
    <row r="307" ht="14.25" customHeight="1">
      <c r="B307" s="396"/>
      <c r="C307" s="327" t="s">
        <v>373</v>
      </c>
      <c r="D307" s="62"/>
      <c r="E307" s="229">
        <v>2.0</v>
      </c>
      <c r="F307" s="230">
        <v>5.0</v>
      </c>
      <c r="G307" s="229">
        <v>4.0</v>
      </c>
      <c r="H307" s="230">
        <v>4.0</v>
      </c>
      <c r="I307" s="232">
        <v>15.0</v>
      </c>
      <c r="J307" s="230">
        <v>3.0</v>
      </c>
      <c r="K307" s="314">
        <v>0.0</v>
      </c>
      <c r="L307" s="230"/>
      <c r="M307" s="229"/>
      <c r="N307" s="230">
        <f t="shared" si="31"/>
        <v>3</v>
      </c>
      <c r="O307" s="229">
        <f>N307-I307</f>
        <v>-12</v>
      </c>
      <c r="P307" s="277"/>
    </row>
    <row r="308" ht="14.25" customHeight="1">
      <c r="B308" s="396"/>
      <c r="C308" s="327" t="s">
        <v>376</v>
      </c>
      <c r="D308" s="62"/>
      <c r="E308" s="229"/>
      <c r="F308" s="230"/>
      <c r="G308" s="229"/>
      <c r="H308" s="230"/>
      <c r="I308" s="232"/>
      <c r="J308" s="230">
        <v>37.0</v>
      </c>
      <c r="K308" s="314">
        <v>37.0</v>
      </c>
      <c r="L308" s="230"/>
      <c r="M308" s="229"/>
      <c r="N308" s="358">
        <v>37.0</v>
      </c>
      <c r="O308" s="229">
        <v>0.0</v>
      </c>
      <c r="P308" s="277"/>
    </row>
    <row r="309" ht="14.25" customHeight="1">
      <c r="B309" s="396"/>
      <c r="C309" s="492" t="s">
        <v>382</v>
      </c>
      <c r="D309" s="62"/>
      <c r="E309" s="63"/>
      <c r="F309" s="62"/>
      <c r="G309" s="63"/>
      <c r="H309" s="62"/>
      <c r="I309" s="78"/>
      <c r="J309" s="145">
        <v>1.0</v>
      </c>
      <c r="K309" s="424">
        <v>1.0</v>
      </c>
      <c r="L309" s="145"/>
      <c r="M309" s="92"/>
      <c r="N309" s="380">
        <v>1.0</v>
      </c>
      <c r="O309" s="64"/>
      <c r="P309" s="277"/>
    </row>
    <row r="310" ht="14.25" customHeight="1">
      <c r="A310" s="105"/>
      <c r="B310" s="396"/>
      <c r="C310" s="359" t="s">
        <v>645</v>
      </c>
      <c r="D310" s="108"/>
      <c r="E310" s="169"/>
      <c r="F310" s="169"/>
      <c r="G310" s="169"/>
      <c r="H310" s="169"/>
      <c r="I310" s="169"/>
      <c r="J310" s="140">
        <v>8106.0</v>
      </c>
      <c r="K310" s="311">
        <v>54865.0</v>
      </c>
      <c r="L310" s="203"/>
      <c r="M310" s="169"/>
      <c r="N310" s="230">
        <f t="shared" ref="N310:N315" si="32">sum(J310:M310)</f>
        <v>62971</v>
      </c>
      <c r="O310" s="139"/>
      <c r="P310" s="99"/>
      <c r="Q310" s="105"/>
      <c r="R310" s="105"/>
      <c r="S310" s="105"/>
      <c r="T310" s="105"/>
      <c r="U310" s="105"/>
      <c r="V310" s="105"/>
      <c r="W310" s="105"/>
      <c r="X310" s="105"/>
      <c r="Y310" s="105"/>
      <c r="Z310" s="105"/>
    </row>
    <row r="311" ht="14.25" customHeight="1">
      <c r="B311" s="396"/>
      <c r="C311" s="359" t="s">
        <v>646</v>
      </c>
      <c r="D311" s="62"/>
      <c r="E311" s="363"/>
      <c r="F311" s="363"/>
      <c r="G311" s="363"/>
      <c r="H311" s="363"/>
      <c r="I311" s="363"/>
      <c r="J311" s="68">
        <v>8106.0</v>
      </c>
      <c r="K311" s="361">
        <v>54865.0</v>
      </c>
      <c r="L311" s="115"/>
      <c r="M311" s="115"/>
      <c r="N311" s="230">
        <f t="shared" si="32"/>
        <v>62971</v>
      </c>
      <c r="O311" s="114"/>
      <c r="P311" s="202"/>
    </row>
    <row r="312" ht="14.25" customHeight="1">
      <c r="B312" s="396"/>
      <c r="C312" s="492" t="s">
        <v>384</v>
      </c>
      <c r="D312" s="62"/>
      <c r="E312" s="275"/>
      <c r="F312" s="276"/>
      <c r="G312" s="275"/>
      <c r="H312" s="276"/>
      <c r="I312" s="395"/>
      <c r="J312" s="145">
        <v>1.0</v>
      </c>
      <c r="K312" s="424">
        <v>0.0</v>
      </c>
      <c r="L312" s="145"/>
      <c r="M312" s="92"/>
      <c r="N312" s="145">
        <f t="shared" si="32"/>
        <v>1</v>
      </c>
      <c r="O312" s="64"/>
      <c r="P312" s="277"/>
    </row>
    <row r="313" ht="14.25" customHeight="1">
      <c r="B313" s="396"/>
      <c r="C313" s="359" t="s">
        <v>647</v>
      </c>
      <c r="D313" s="62"/>
      <c r="E313" s="64"/>
      <c r="F313" s="115"/>
      <c r="G313" s="64"/>
      <c r="H313" s="115"/>
      <c r="I313" s="169"/>
      <c r="J313" s="68">
        <v>10000.0</v>
      </c>
      <c r="K313" s="379">
        <v>0.0</v>
      </c>
      <c r="L313" s="115"/>
      <c r="M313" s="114"/>
      <c r="N313" s="230">
        <f t="shared" si="32"/>
        <v>10000</v>
      </c>
      <c r="O313" s="114"/>
      <c r="P313" s="351"/>
    </row>
    <row r="314" ht="14.25" customHeight="1">
      <c r="B314" s="396"/>
      <c r="C314" s="359" t="s">
        <v>648</v>
      </c>
      <c r="D314" s="62"/>
      <c r="E314" s="64"/>
      <c r="F314" s="115"/>
      <c r="G314" s="64"/>
      <c r="H314" s="68"/>
      <c r="I314" s="64"/>
      <c r="J314" s="68">
        <v>10000.0</v>
      </c>
      <c r="K314" s="364">
        <v>0.0</v>
      </c>
      <c r="L314" s="68"/>
      <c r="M314" s="64"/>
      <c r="N314" s="230">
        <f t="shared" si="32"/>
        <v>10000</v>
      </c>
      <c r="O314" s="64"/>
      <c r="P314" s="277"/>
    </row>
    <row r="315" ht="14.25" customHeight="1">
      <c r="B315" s="284" t="s">
        <v>649</v>
      </c>
      <c r="C315" s="392"/>
      <c r="D315" s="62"/>
      <c r="E315" s="64"/>
      <c r="F315" s="68"/>
      <c r="G315" s="64"/>
      <c r="H315" s="68"/>
      <c r="I315" s="64"/>
      <c r="J315" s="68"/>
      <c r="K315" s="64"/>
      <c r="L315" s="68"/>
      <c r="M315" s="64"/>
      <c r="N315" s="230">
        <f t="shared" si="32"/>
        <v>0</v>
      </c>
      <c r="O315" s="83">
        <f t="shared" ref="O315:O318" si="33">N315-I315</f>
        <v>0</v>
      </c>
      <c r="P315" s="277"/>
    </row>
    <row r="316" ht="14.25" customHeight="1">
      <c r="B316" s="396"/>
      <c r="C316" s="492" t="s">
        <v>402</v>
      </c>
      <c r="D316" s="62"/>
      <c r="E316" s="64"/>
      <c r="F316" s="68"/>
      <c r="G316" s="64"/>
      <c r="H316" s="68"/>
      <c r="I316" s="64"/>
      <c r="J316" s="115">
        <v>0.2219679633867277</v>
      </c>
      <c r="K316" s="64"/>
      <c r="L316" s="68"/>
      <c r="M316" s="64"/>
      <c r="N316" s="145">
        <f>N318/N317</f>
        <v>0.533919598</v>
      </c>
      <c r="O316" s="83">
        <f t="shared" si="33"/>
        <v>0.533919598</v>
      </c>
      <c r="P316" s="277"/>
    </row>
    <row r="317" ht="42.0" customHeight="1">
      <c r="B317" s="396"/>
      <c r="C317" s="359" t="s">
        <v>650</v>
      </c>
      <c r="D317" s="62"/>
      <c r="E317" s="493"/>
      <c r="F317" s="493"/>
      <c r="G317" s="493"/>
      <c r="H317" s="493"/>
      <c r="I317" s="89"/>
      <c r="J317" s="64">
        <v>437.0</v>
      </c>
      <c r="K317" s="364">
        <v>359.0</v>
      </c>
      <c r="L317" s="68"/>
      <c r="M317" s="64"/>
      <c r="N317" s="230">
        <f t="shared" ref="N317:N325" si="34">sum(J317:M317)</f>
        <v>796</v>
      </c>
      <c r="O317" s="83">
        <f t="shared" si="33"/>
        <v>796</v>
      </c>
      <c r="P317" s="277"/>
    </row>
    <row r="318" ht="14.25" customHeight="1">
      <c r="B318" s="396"/>
      <c r="C318" s="359" t="s">
        <v>651</v>
      </c>
      <c r="D318" s="62"/>
      <c r="E318" s="64"/>
      <c r="F318" s="68"/>
      <c r="G318" s="64"/>
      <c r="H318" s="68"/>
      <c r="I318" s="64"/>
      <c r="J318" s="64">
        <v>97.0</v>
      </c>
      <c r="K318" s="364">
        <v>328.0</v>
      </c>
      <c r="L318" s="68"/>
      <c r="M318" s="64"/>
      <c r="N318" s="230">
        <f t="shared" si="34"/>
        <v>425</v>
      </c>
      <c r="O318" s="83">
        <f t="shared" si="33"/>
        <v>425</v>
      </c>
      <c r="P318" s="277"/>
    </row>
    <row r="319" ht="14.25" customHeight="1">
      <c r="B319" s="396"/>
      <c r="C319" s="494" t="s">
        <v>404</v>
      </c>
      <c r="D319" s="62"/>
      <c r="E319" s="278"/>
      <c r="F319" s="276"/>
      <c r="G319" s="275"/>
      <c r="H319" s="276"/>
      <c r="I319" s="275"/>
      <c r="J319" s="92">
        <v>1.0</v>
      </c>
      <c r="K319" s="92"/>
      <c r="L319" s="145"/>
      <c r="M319" s="92"/>
      <c r="N319" s="145">
        <f t="shared" si="34"/>
        <v>1</v>
      </c>
      <c r="O319" s="64"/>
      <c r="P319" s="277"/>
    </row>
    <row r="320" ht="14.25" customHeight="1">
      <c r="B320" s="396"/>
      <c r="C320" s="495" t="s">
        <v>652</v>
      </c>
      <c r="D320" s="62"/>
      <c r="E320" s="139"/>
      <c r="F320" s="140"/>
      <c r="G320" s="139"/>
      <c r="H320" s="140"/>
      <c r="I320" s="139"/>
      <c r="J320" s="64">
        <v>4.0</v>
      </c>
      <c r="K320" s="311">
        <v>4.0</v>
      </c>
      <c r="L320" s="68"/>
      <c r="M320" s="64"/>
      <c r="N320" s="230">
        <f t="shared" si="34"/>
        <v>8</v>
      </c>
      <c r="O320" s="64"/>
      <c r="P320" s="95"/>
    </row>
    <row r="321" ht="14.25" customHeight="1">
      <c r="B321" s="396"/>
      <c r="C321" s="495" t="s">
        <v>653</v>
      </c>
      <c r="D321" s="62"/>
      <c r="E321" s="139"/>
      <c r="F321" s="140"/>
      <c r="G321" s="139"/>
      <c r="H321" s="140"/>
      <c r="I321" s="139"/>
      <c r="J321" s="64">
        <v>4.0</v>
      </c>
      <c r="K321" s="364">
        <v>4.0</v>
      </c>
      <c r="L321" s="68"/>
      <c r="M321" s="64"/>
      <c r="N321" s="230">
        <f t="shared" si="34"/>
        <v>8</v>
      </c>
      <c r="O321" s="64"/>
      <c r="P321" s="353"/>
    </row>
    <row r="322" ht="14.25" customHeight="1">
      <c r="B322" s="396"/>
      <c r="C322" s="492" t="s">
        <v>654</v>
      </c>
      <c r="D322" s="62"/>
      <c r="E322" s="278"/>
      <c r="F322" s="276"/>
      <c r="G322" s="275"/>
      <c r="H322" s="276"/>
      <c r="I322" s="278"/>
      <c r="J322" s="64">
        <v>1.0</v>
      </c>
      <c r="K322" s="64"/>
      <c r="L322" s="68"/>
      <c r="M322" s="64"/>
      <c r="N322" s="230">
        <f t="shared" si="34"/>
        <v>1</v>
      </c>
      <c r="O322" s="64"/>
      <c r="P322" s="277"/>
    </row>
    <row r="323" ht="14.25" customHeight="1">
      <c r="B323" s="396"/>
      <c r="C323" s="359" t="s">
        <v>655</v>
      </c>
      <c r="D323" s="62"/>
      <c r="E323" s="278"/>
      <c r="F323" s="276"/>
      <c r="G323" s="275"/>
      <c r="H323" s="276"/>
      <c r="I323" s="278"/>
      <c r="J323" s="64">
        <v>2.0</v>
      </c>
      <c r="K323" s="364">
        <v>2.0</v>
      </c>
      <c r="L323" s="68"/>
      <c r="M323" s="64"/>
      <c r="N323" s="230">
        <f t="shared" si="34"/>
        <v>4</v>
      </c>
      <c r="O323" s="64"/>
      <c r="P323" s="277"/>
    </row>
    <row r="324" ht="14.25" customHeight="1">
      <c r="B324" s="396"/>
      <c r="C324" s="359" t="s">
        <v>656</v>
      </c>
      <c r="D324" s="62"/>
      <c r="E324" s="278"/>
      <c r="F324" s="276"/>
      <c r="G324" s="275"/>
      <c r="H324" s="276"/>
      <c r="I324" s="278"/>
      <c r="J324" s="64">
        <v>2.0</v>
      </c>
      <c r="K324" s="364">
        <v>2.0</v>
      </c>
      <c r="L324" s="68"/>
      <c r="M324" s="64"/>
      <c r="N324" s="230">
        <f t="shared" si="34"/>
        <v>4</v>
      </c>
      <c r="O324" s="64"/>
      <c r="P324" s="277"/>
    </row>
    <row r="325" ht="14.25" customHeight="1">
      <c r="B325" s="396"/>
      <c r="C325" s="327" t="s">
        <v>657</v>
      </c>
      <c r="D325" s="496"/>
      <c r="E325" s="497"/>
      <c r="F325" s="497"/>
      <c r="G325" s="497"/>
      <c r="H325" s="497"/>
      <c r="I325" s="497"/>
      <c r="J325" s="497">
        <v>0.0</v>
      </c>
      <c r="K325" s="497"/>
      <c r="L325" s="497"/>
      <c r="M325" s="498"/>
      <c r="N325" s="230">
        <f t="shared" si="34"/>
        <v>0</v>
      </c>
      <c r="O325" s="499"/>
      <c r="P325" s="277"/>
    </row>
    <row r="326" ht="14.25" customHeight="1">
      <c r="B326" s="396"/>
      <c r="C326" s="492" t="s">
        <v>658</v>
      </c>
      <c r="D326" s="496"/>
      <c r="E326" s="402"/>
      <c r="F326" s="402"/>
      <c r="G326" s="402"/>
      <c r="H326" s="402"/>
      <c r="I326" s="402"/>
      <c r="J326" s="499">
        <v>1.0</v>
      </c>
      <c r="K326" s="500">
        <v>1.0</v>
      </c>
      <c r="L326" s="499"/>
      <c r="M326" s="499"/>
      <c r="N326" s="378">
        <v>1.0</v>
      </c>
      <c r="O326" s="499"/>
      <c r="P326" s="277"/>
    </row>
    <row r="327" ht="14.25" customHeight="1">
      <c r="B327" s="396"/>
      <c r="C327" s="359" t="s">
        <v>659</v>
      </c>
      <c r="D327" s="496"/>
      <c r="E327" s="402"/>
      <c r="F327" s="402"/>
      <c r="G327" s="402"/>
      <c r="H327" s="402"/>
      <c r="I327" s="402"/>
      <c r="J327" s="498">
        <v>20.0</v>
      </c>
      <c r="K327" s="501">
        <v>50.0</v>
      </c>
      <c r="L327" s="499"/>
      <c r="M327" s="499"/>
      <c r="N327" s="230">
        <f t="shared" ref="N327:N328" si="35">sum(J327:M327)</f>
        <v>70</v>
      </c>
      <c r="O327" s="499"/>
      <c r="P327" s="277"/>
    </row>
    <row r="328" ht="14.25" customHeight="1">
      <c r="B328" s="396"/>
      <c r="C328" s="359" t="s">
        <v>660</v>
      </c>
      <c r="D328" s="496"/>
      <c r="E328" s="402"/>
      <c r="F328" s="402"/>
      <c r="G328" s="402"/>
      <c r="H328" s="402"/>
      <c r="I328" s="402"/>
      <c r="J328" s="502">
        <v>20.0</v>
      </c>
      <c r="K328" s="501">
        <v>50.0</v>
      </c>
      <c r="L328" s="497"/>
      <c r="M328" s="497"/>
      <c r="N328" s="230">
        <f t="shared" si="35"/>
        <v>70</v>
      </c>
      <c r="O328" s="502"/>
      <c r="P328" s="277"/>
    </row>
    <row r="329" ht="14.25" customHeight="1">
      <c r="E329" s="503"/>
      <c r="F329" s="503"/>
      <c r="G329" s="503"/>
      <c r="H329" s="503"/>
      <c r="I329" s="503"/>
      <c r="J329" s="503"/>
      <c r="K329" s="503"/>
      <c r="L329" s="503"/>
      <c r="M329" s="503"/>
      <c r="N329" s="503"/>
      <c r="O329" s="503"/>
      <c r="P329" s="504"/>
    </row>
    <row r="330" ht="14.25" customHeight="1">
      <c r="E330" s="206"/>
      <c r="F330" s="206"/>
      <c r="G330" s="206"/>
      <c r="H330" s="206"/>
      <c r="I330" s="206"/>
      <c r="J330" s="206"/>
      <c r="K330" s="206"/>
      <c r="L330" s="206"/>
      <c r="M330" s="206"/>
      <c r="N330" s="206"/>
      <c r="O330" s="206"/>
    </row>
    <row r="331" ht="14.25" customHeight="1">
      <c r="J331" s="206"/>
      <c r="K331" s="206"/>
      <c r="L331" s="206"/>
      <c r="M331" s="206"/>
      <c r="N331" s="206"/>
      <c r="O331" s="206"/>
    </row>
    <row r="332" ht="14.25" customHeight="1">
      <c r="B332" s="254" t="s">
        <v>405</v>
      </c>
      <c r="C332" s="254"/>
      <c r="D332" s="254" t="s">
        <v>406</v>
      </c>
      <c r="E332" s="254"/>
      <c r="F332" s="254"/>
      <c r="G332" s="254"/>
      <c r="H332" s="254"/>
      <c r="I332" s="254"/>
      <c r="J332" s="255"/>
      <c r="K332" s="255"/>
      <c r="L332" s="255"/>
      <c r="M332" s="255" t="s">
        <v>407</v>
      </c>
      <c r="N332" s="255"/>
      <c r="O332" s="256"/>
    </row>
    <row r="333" ht="14.25" customHeight="1">
      <c r="B333" s="254"/>
      <c r="C333" s="254"/>
      <c r="D333" s="254"/>
      <c r="E333" s="254"/>
      <c r="F333" s="254"/>
      <c r="G333" s="254"/>
      <c r="H333" s="254"/>
      <c r="I333" s="254"/>
      <c r="J333" s="255"/>
      <c r="K333" s="255"/>
      <c r="L333" s="255"/>
      <c r="M333" s="255"/>
      <c r="N333" s="255"/>
      <c r="O333" s="256"/>
    </row>
    <row r="334" ht="14.25" customHeight="1">
      <c r="B334" s="254"/>
      <c r="C334" s="254"/>
      <c r="D334" s="254"/>
      <c r="E334" s="254"/>
      <c r="F334" s="254"/>
      <c r="G334" s="254"/>
      <c r="H334" s="254"/>
      <c r="I334" s="254"/>
      <c r="J334" s="255"/>
      <c r="K334" s="255"/>
      <c r="L334" s="255"/>
      <c r="M334" s="255"/>
      <c r="N334" s="255"/>
      <c r="O334" s="256"/>
    </row>
    <row r="335" ht="14.25" customHeight="1">
      <c r="B335" s="254"/>
      <c r="C335" s="254"/>
      <c r="D335" s="254"/>
      <c r="E335" s="254"/>
      <c r="F335" s="254"/>
      <c r="G335" s="254"/>
      <c r="H335" s="254"/>
      <c r="I335" s="254"/>
      <c r="J335" s="255"/>
      <c r="K335" s="255"/>
      <c r="L335" s="255"/>
      <c r="M335" s="255"/>
      <c r="N335" s="255"/>
      <c r="O335" s="256"/>
    </row>
    <row r="336" ht="14.25" customHeight="1">
      <c r="B336" s="254"/>
      <c r="C336" s="254"/>
      <c r="D336" s="254"/>
      <c r="E336" s="254"/>
      <c r="F336" s="254"/>
      <c r="G336" s="254"/>
      <c r="H336" s="254"/>
      <c r="I336" s="254"/>
      <c r="J336" s="255"/>
      <c r="K336" s="255"/>
      <c r="L336" s="255"/>
      <c r="M336" s="255"/>
      <c r="N336" s="255"/>
      <c r="O336" s="256"/>
    </row>
    <row r="337" ht="14.25" customHeight="1">
      <c r="B337" s="257" t="s">
        <v>661</v>
      </c>
      <c r="C337" s="254"/>
      <c r="D337" s="257" t="s">
        <v>662</v>
      </c>
      <c r="E337" s="254"/>
      <c r="F337" s="254"/>
      <c r="G337" s="254"/>
      <c r="H337" s="254"/>
      <c r="I337" s="254"/>
      <c r="J337" s="255"/>
      <c r="K337" s="255"/>
      <c r="L337" s="255"/>
      <c r="M337" s="258" t="s">
        <v>663</v>
      </c>
      <c r="N337" s="255"/>
      <c r="O337" s="256"/>
    </row>
    <row r="338" ht="14.25" customHeight="1">
      <c r="B338" s="254" t="s">
        <v>411</v>
      </c>
      <c r="C338" s="254"/>
      <c r="D338" s="254" t="s">
        <v>664</v>
      </c>
      <c r="E338" s="254"/>
      <c r="F338" s="254"/>
      <c r="G338" s="254"/>
      <c r="H338" s="254"/>
      <c r="I338" s="254"/>
      <c r="J338" s="255"/>
      <c r="K338" s="255"/>
      <c r="L338" s="255"/>
      <c r="M338" s="259" t="s">
        <v>665</v>
      </c>
      <c r="N338" s="255"/>
      <c r="O338" s="256"/>
    </row>
    <row r="339" ht="14.25" customHeight="1">
      <c r="B339" s="260"/>
      <c r="C339" s="260"/>
      <c r="D339" s="260"/>
      <c r="E339" s="260"/>
      <c r="F339" s="260"/>
      <c r="G339" s="260"/>
      <c r="H339" s="260"/>
      <c r="I339" s="260"/>
      <c r="J339" s="261"/>
      <c r="K339" s="261"/>
      <c r="L339" s="261"/>
      <c r="M339" s="261"/>
      <c r="N339" s="261"/>
      <c r="O339" s="256"/>
    </row>
    <row r="340" ht="14.25" customHeight="1">
      <c r="B340" s="260"/>
      <c r="C340" s="260"/>
      <c r="D340" s="260"/>
      <c r="E340" s="260"/>
      <c r="F340" s="260"/>
      <c r="G340" s="260"/>
      <c r="H340" s="260"/>
      <c r="I340" s="260"/>
      <c r="J340" s="261"/>
      <c r="K340" s="261"/>
      <c r="L340" s="261"/>
      <c r="M340" s="261"/>
      <c r="N340" s="261"/>
      <c r="O340" s="256"/>
    </row>
    <row r="341" ht="14.25" customHeight="1">
      <c r="B341" s="262"/>
      <c r="C341" s="262"/>
      <c r="D341" s="262"/>
      <c r="E341" s="262"/>
      <c r="F341" s="262"/>
      <c r="G341" s="262"/>
      <c r="H341" s="262"/>
      <c r="I341" s="262"/>
      <c r="J341" s="263"/>
      <c r="K341" s="263"/>
      <c r="L341" s="263"/>
      <c r="M341" s="263"/>
      <c r="N341" s="263"/>
      <c r="O341" s="256"/>
    </row>
    <row r="342" ht="14.25" customHeight="1">
      <c r="B342" s="262"/>
      <c r="C342" s="262"/>
      <c r="D342" s="262"/>
      <c r="E342" s="262"/>
      <c r="F342" s="262"/>
      <c r="G342" s="262"/>
      <c r="H342" s="262"/>
      <c r="I342" s="262"/>
      <c r="J342" s="263"/>
      <c r="K342" s="263"/>
      <c r="L342" s="263"/>
      <c r="M342" s="263"/>
      <c r="N342" s="263"/>
      <c r="O342" s="206"/>
    </row>
    <row r="343" ht="14.25" customHeight="1">
      <c r="J343" s="206"/>
      <c r="K343" s="206"/>
      <c r="L343" s="206"/>
      <c r="M343" s="206"/>
      <c r="N343" s="206"/>
      <c r="O343" s="206"/>
    </row>
    <row r="344" ht="14.25" customHeight="1">
      <c r="J344" s="206"/>
      <c r="K344" s="206"/>
      <c r="L344" s="206"/>
      <c r="M344" s="206"/>
      <c r="N344" s="206"/>
      <c r="O344" s="206"/>
    </row>
    <row r="345" ht="14.25" customHeight="1">
      <c r="J345" s="206"/>
      <c r="K345" s="206"/>
      <c r="L345" s="206"/>
      <c r="M345" s="206"/>
      <c r="N345" s="206"/>
      <c r="O345" s="206"/>
    </row>
    <row r="346" ht="14.25" customHeight="1">
      <c r="J346" s="206"/>
      <c r="K346" s="206"/>
      <c r="L346" s="206"/>
      <c r="M346" s="206"/>
      <c r="N346" s="206"/>
      <c r="O346" s="206"/>
    </row>
    <row r="347" ht="14.25" customHeight="1">
      <c r="J347" s="206"/>
      <c r="K347" s="206"/>
      <c r="L347" s="206"/>
      <c r="M347" s="206"/>
      <c r="N347" s="206"/>
      <c r="O347" s="206"/>
    </row>
    <row r="348" ht="14.25" customHeight="1">
      <c r="J348" s="206"/>
      <c r="K348" s="206"/>
      <c r="L348" s="206"/>
      <c r="M348" s="206"/>
      <c r="N348" s="206"/>
      <c r="O348" s="206"/>
    </row>
    <row r="349" ht="14.25" customHeight="1">
      <c r="J349" s="206"/>
      <c r="K349" s="206"/>
      <c r="L349" s="206"/>
      <c r="M349" s="206"/>
      <c r="N349" s="206"/>
      <c r="O349" s="206"/>
    </row>
    <row r="350" ht="14.25" customHeight="1">
      <c r="J350" s="206"/>
      <c r="K350" s="206"/>
      <c r="L350" s="206"/>
      <c r="M350" s="206"/>
      <c r="N350" s="206"/>
      <c r="O350" s="206"/>
    </row>
    <row r="351" ht="14.25" customHeight="1">
      <c r="J351" s="206"/>
      <c r="K351" s="206"/>
      <c r="L351" s="206"/>
      <c r="M351" s="206"/>
      <c r="N351" s="206"/>
      <c r="O351" s="206"/>
    </row>
    <row r="352" ht="14.25" customHeight="1">
      <c r="J352" s="206"/>
      <c r="K352" s="206"/>
      <c r="L352" s="206"/>
      <c r="M352" s="206"/>
      <c r="N352" s="206"/>
      <c r="O352" s="206"/>
    </row>
    <row r="353" ht="14.25" customHeight="1">
      <c r="J353" s="206"/>
      <c r="K353" s="206"/>
      <c r="L353" s="206"/>
      <c r="M353" s="206"/>
      <c r="N353" s="206"/>
      <c r="O353" s="206"/>
    </row>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sheetData>
  <mergeCells count="28">
    <mergeCell ref="D10:D14"/>
    <mergeCell ref="E12:E14"/>
    <mergeCell ref="B15:C15"/>
    <mergeCell ref="B16:C16"/>
    <mergeCell ref="F12:F14"/>
    <mergeCell ref="G12:G14"/>
    <mergeCell ref="H12:H14"/>
    <mergeCell ref="I12:I14"/>
    <mergeCell ref="O1:P1"/>
    <mergeCell ref="A2:P2"/>
    <mergeCell ref="A3:P3"/>
    <mergeCell ref="B9:C9"/>
    <mergeCell ref="B10:C14"/>
    <mergeCell ref="E10:I11"/>
    <mergeCell ref="P10:P14"/>
    <mergeCell ref="P22:P24"/>
    <mergeCell ref="P25:P28"/>
    <mergeCell ref="P53:P54"/>
    <mergeCell ref="P110:P112"/>
    <mergeCell ref="P236:P250"/>
    <mergeCell ref="P295:P299"/>
    <mergeCell ref="J10:N11"/>
    <mergeCell ref="O10:O14"/>
    <mergeCell ref="J12:J14"/>
    <mergeCell ref="K12:K14"/>
    <mergeCell ref="L12:L14"/>
    <mergeCell ref="M12:M14"/>
    <mergeCell ref="N12:N14"/>
  </mergeCells>
  <conditionalFormatting sqref="E257:H257">
    <cfRule type="cellIs" dxfId="0" priority="1" operator="equal">
      <formula>1</formula>
    </cfRule>
  </conditionalFormatting>
  <conditionalFormatting sqref="E257:H257">
    <cfRule type="cellIs" dxfId="0" priority="2" operator="equal">
      <formula>100</formula>
    </cfRule>
  </conditionalFormatting>
  <printOptions horizontalCentered="1"/>
  <pageMargins bottom="0.75" footer="0.0" header="0.0" left="0.25" right="0.25" top="0.75"/>
  <pageSetup fitToHeight="0" paperSize="14" orientation="landscape"/>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hidden="1" min="1" max="1" width="9.14"/>
    <col customWidth="1" min="2" max="2" width="12.0"/>
    <col customWidth="1" min="3" max="11" width="9.14"/>
    <col customWidth="1" min="12" max="12" width="15.14"/>
    <col customWidth="1" min="13" max="13" width="9.14"/>
    <col customWidth="1" min="14" max="14" width="14.71"/>
    <col customWidth="1" min="15" max="15" width="14.29"/>
    <col customWidth="1" min="16" max="16" width="15.0"/>
    <col customWidth="1" min="17" max="17" width="14.71"/>
    <col customWidth="1" min="18" max="18" width="18.86"/>
    <col customWidth="1" min="19" max="19" width="15.14"/>
    <col customWidth="1" min="20" max="20" width="15.43"/>
    <col customWidth="1" min="21" max="21" width="16.29"/>
    <col customWidth="1" min="22" max="22" width="12.57"/>
    <col customWidth="1" min="23" max="23" width="20.57"/>
    <col customWidth="1" min="24" max="24" width="16.71"/>
    <col customWidth="1" min="25" max="25" width="41.14"/>
    <col customWidth="1" min="26" max="31" width="9.14"/>
  </cols>
  <sheetData>
    <row r="1" ht="14.25" customHeight="1">
      <c r="A1" s="1"/>
      <c r="B1" s="1"/>
      <c r="C1" s="1"/>
      <c r="D1" s="1"/>
      <c r="E1" s="1"/>
      <c r="F1" s="1"/>
      <c r="G1" s="1"/>
      <c r="H1" s="1"/>
      <c r="I1" s="1"/>
      <c r="J1" s="1"/>
      <c r="K1" s="1"/>
      <c r="L1" s="1"/>
      <c r="M1" s="1"/>
      <c r="N1" s="1"/>
      <c r="O1" s="1"/>
      <c r="P1" s="1"/>
      <c r="Q1" s="1"/>
      <c r="R1" s="1"/>
      <c r="S1" s="1"/>
      <c r="T1" s="1"/>
      <c r="U1" s="1"/>
      <c r="V1" s="1"/>
      <c r="W1" s="1"/>
      <c r="X1" s="2" t="s">
        <v>0</v>
      </c>
      <c r="Y1" s="3"/>
    </row>
    <row r="2" ht="14.25" customHeight="1">
      <c r="A2" s="4" t="s">
        <v>1</v>
      </c>
      <c r="B2" s="5"/>
      <c r="C2" s="5"/>
      <c r="D2" s="5"/>
      <c r="E2" s="5"/>
      <c r="F2" s="5"/>
      <c r="G2" s="5"/>
      <c r="H2" s="5"/>
      <c r="I2" s="5"/>
      <c r="J2" s="5"/>
      <c r="K2" s="5"/>
      <c r="L2" s="5"/>
      <c r="M2" s="5"/>
      <c r="N2" s="5"/>
      <c r="O2" s="5"/>
      <c r="P2" s="5"/>
      <c r="Q2" s="5"/>
      <c r="R2" s="5"/>
      <c r="S2" s="5"/>
      <c r="T2" s="5"/>
      <c r="U2" s="5"/>
      <c r="V2" s="5"/>
      <c r="W2" s="5"/>
      <c r="X2" s="5"/>
      <c r="Y2" s="3"/>
    </row>
    <row r="3" ht="14.25" customHeight="1">
      <c r="A3" s="6" t="s">
        <v>666</v>
      </c>
      <c r="B3" s="5"/>
      <c r="C3" s="5"/>
      <c r="D3" s="5"/>
      <c r="E3" s="5"/>
      <c r="F3" s="5"/>
      <c r="G3" s="5"/>
      <c r="H3" s="5"/>
      <c r="I3" s="5"/>
      <c r="J3" s="5"/>
      <c r="K3" s="5"/>
      <c r="L3" s="5"/>
      <c r="M3" s="5"/>
      <c r="N3" s="5"/>
      <c r="O3" s="5"/>
      <c r="P3" s="5"/>
      <c r="Q3" s="5"/>
      <c r="R3" s="5"/>
      <c r="S3" s="5"/>
      <c r="T3" s="5"/>
      <c r="U3" s="5"/>
      <c r="V3" s="5"/>
      <c r="W3" s="5"/>
      <c r="X3" s="5"/>
      <c r="Y3" s="3"/>
    </row>
    <row r="4" ht="14.25" customHeight="1">
      <c r="A4" s="7"/>
      <c r="B4" s="7"/>
      <c r="C4" s="7"/>
      <c r="D4" s="7"/>
      <c r="E4" s="7"/>
      <c r="F4" s="7"/>
      <c r="G4" s="7"/>
      <c r="H4" s="7"/>
      <c r="I4" s="7"/>
      <c r="J4" s="7"/>
      <c r="K4" s="7"/>
      <c r="L4" s="7"/>
      <c r="M4" s="7"/>
      <c r="N4" s="7"/>
      <c r="O4" s="7"/>
      <c r="P4" s="7"/>
      <c r="Q4" s="7"/>
      <c r="R4" s="7"/>
      <c r="S4" s="7"/>
      <c r="T4" s="7"/>
      <c r="U4" s="7"/>
      <c r="V4" s="7"/>
      <c r="W4" s="7"/>
      <c r="X4" s="7"/>
      <c r="Y4" s="8"/>
    </row>
    <row r="5" ht="14.25" customHeight="1">
      <c r="A5" s="1"/>
      <c r="B5" s="9" t="s">
        <v>3</v>
      </c>
      <c r="C5" s="9"/>
      <c r="D5" s="9"/>
      <c r="E5" s="10"/>
      <c r="F5" s="10"/>
      <c r="G5" s="10"/>
      <c r="H5" s="11" t="s">
        <v>4</v>
      </c>
      <c r="I5" s="12" t="s">
        <v>5</v>
      </c>
      <c r="J5" s="5"/>
      <c r="K5" s="5"/>
      <c r="L5" s="5"/>
      <c r="M5" s="3"/>
      <c r="N5" s="13"/>
      <c r="O5" s="13"/>
      <c r="P5" s="13"/>
      <c r="Q5" s="13"/>
      <c r="R5" s="13"/>
      <c r="S5" s="13"/>
      <c r="T5" s="13"/>
      <c r="U5" s="14"/>
      <c r="V5" s="14"/>
      <c r="W5" s="15"/>
      <c r="X5" s="16" t="s">
        <v>6</v>
      </c>
      <c r="Y5" s="17"/>
    </row>
    <row r="6" ht="14.25" customHeight="1">
      <c r="A6" s="1"/>
      <c r="B6" s="9" t="s">
        <v>7</v>
      </c>
      <c r="C6" s="9"/>
      <c r="D6" s="9"/>
      <c r="E6" s="10"/>
      <c r="F6" s="10"/>
      <c r="G6" s="10"/>
      <c r="H6" s="11" t="s">
        <v>4</v>
      </c>
      <c r="I6" s="12"/>
      <c r="J6" s="5"/>
      <c r="K6" s="5"/>
      <c r="L6" s="5"/>
      <c r="M6" s="3"/>
      <c r="N6" s="13"/>
      <c r="O6" s="13"/>
      <c r="P6" s="13"/>
      <c r="Q6" s="13"/>
      <c r="R6" s="13"/>
      <c r="S6" s="13"/>
      <c r="T6" s="13"/>
      <c r="U6" s="14"/>
      <c r="V6" s="14"/>
      <c r="W6" s="18"/>
      <c r="X6" s="16" t="s">
        <v>8</v>
      </c>
      <c r="Y6" s="17"/>
    </row>
    <row r="7" ht="14.25" customHeight="1">
      <c r="A7" s="1"/>
      <c r="B7" s="9" t="s">
        <v>9</v>
      </c>
      <c r="C7" s="9"/>
      <c r="D7" s="9"/>
      <c r="E7" s="10"/>
      <c r="F7" s="10"/>
      <c r="G7" s="10"/>
      <c r="H7" s="11" t="s">
        <v>4</v>
      </c>
      <c r="I7" s="12"/>
      <c r="J7" s="5"/>
      <c r="K7" s="5"/>
      <c r="L7" s="5"/>
      <c r="M7" s="3"/>
      <c r="N7" s="13"/>
      <c r="O7" s="13"/>
      <c r="P7" s="13"/>
      <c r="Q7" s="13"/>
      <c r="R7" s="13"/>
      <c r="S7" s="14"/>
      <c r="T7" s="14"/>
      <c r="U7" s="14"/>
      <c r="V7" s="1"/>
      <c r="W7" s="18"/>
      <c r="X7" s="16" t="s">
        <v>10</v>
      </c>
      <c r="Y7" s="17"/>
    </row>
    <row r="8" ht="14.25" customHeight="1">
      <c r="A8" s="1"/>
      <c r="B8" s="9" t="s">
        <v>11</v>
      </c>
      <c r="C8" s="9"/>
      <c r="D8" s="9"/>
      <c r="E8" s="10"/>
      <c r="F8" s="10"/>
      <c r="G8" s="10"/>
      <c r="H8" s="11" t="s">
        <v>4</v>
      </c>
      <c r="I8" s="12"/>
      <c r="J8" s="5"/>
      <c r="K8" s="5"/>
      <c r="L8" s="5"/>
      <c r="M8" s="3"/>
      <c r="N8" s="13"/>
      <c r="O8" s="13"/>
      <c r="P8" s="13"/>
      <c r="Q8" s="13"/>
      <c r="R8" s="13"/>
      <c r="S8" s="14"/>
      <c r="T8" s="14"/>
      <c r="U8" s="14"/>
      <c r="V8" s="1"/>
      <c r="W8" s="18"/>
      <c r="X8" s="16" t="s">
        <v>12</v>
      </c>
      <c r="Y8" s="17"/>
    </row>
    <row r="9" ht="14.25" customHeight="1">
      <c r="A9" s="1"/>
      <c r="B9" s="19"/>
      <c r="C9" s="5"/>
      <c r="D9" s="5"/>
      <c r="E9" s="3"/>
      <c r="F9" s="17"/>
      <c r="G9" s="17"/>
      <c r="H9" s="17"/>
      <c r="I9" s="17"/>
      <c r="J9" s="17"/>
      <c r="K9" s="1"/>
      <c r="L9" s="1"/>
      <c r="M9" s="1"/>
      <c r="N9" s="1"/>
      <c r="O9" s="1"/>
      <c r="P9" s="1"/>
      <c r="Q9" s="1"/>
      <c r="R9" s="1"/>
      <c r="S9" s="1"/>
      <c r="T9" s="1"/>
      <c r="U9" s="14"/>
      <c r="V9" s="1"/>
      <c r="W9" s="14"/>
      <c r="X9" s="1"/>
      <c r="Y9" s="1"/>
    </row>
    <row r="10" ht="15.75" customHeight="1">
      <c r="A10" s="1"/>
      <c r="B10" s="20" t="s">
        <v>13</v>
      </c>
      <c r="C10" s="21"/>
      <c r="D10" s="21"/>
      <c r="E10" s="21"/>
      <c r="F10" s="21"/>
      <c r="G10" s="21"/>
      <c r="H10" s="21"/>
      <c r="I10" s="21"/>
      <c r="J10" s="21"/>
      <c r="K10" s="21"/>
      <c r="L10" s="22"/>
      <c r="M10" s="23" t="s">
        <v>14</v>
      </c>
      <c r="N10" s="20" t="s">
        <v>15</v>
      </c>
      <c r="O10" s="21"/>
      <c r="P10" s="21"/>
      <c r="Q10" s="21"/>
      <c r="R10" s="22"/>
      <c r="S10" s="24" t="s">
        <v>16</v>
      </c>
      <c r="T10" s="21"/>
      <c r="U10" s="21"/>
      <c r="V10" s="21"/>
      <c r="W10" s="25"/>
      <c r="X10" s="26" t="s">
        <v>667</v>
      </c>
      <c r="Y10" s="27" t="s">
        <v>18</v>
      </c>
    </row>
    <row r="11" ht="14.25" customHeight="1">
      <c r="A11" s="1"/>
      <c r="B11" s="28"/>
      <c r="L11" s="29"/>
      <c r="M11" s="30"/>
      <c r="N11" s="31"/>
      <c r="O11" s="32"/>
      <c r="P11" s="32"/>
      <c r="Q11" s="32"/>
      <c r="R11" s="33"/>
      <c r="S11" s="34"/>
      <c r="T11" s="35"/>
      <c r="U11" s="35"/>
      <c r="V11" s="35"/>
      <c r="W11" s="36"/>
      <c r="X11" s="37"/>
      <c r="Y11" s="38"/>
    </row>
    <row r="12" ht="15.75" customHeight="1">
      <c r="A12" s="1"/>
      <c r="B12" s="28"/>
      <c r="L12" s="29"/>
      <c r="M12" s="30"/>
      <c r="N12" s="39" t="s">
        <v>19</v>
      </c>
      <c r="O12" s="23" t="s">
        <v>20</v>
      </c>
      <c r="P12" s="39" t="s">
        <v>21</v>
      </c>
      <c r="Q12" s="23" t="s">
        <v>22</v>
      </c>
      <c r="R12" s="39" t="s">
        <v>23</v>
      </c>
      <c r="S12" s="23" t="s">
        <v>19</v>
      </c>
      <c r="T12" s="39" t="s">
        <v>20</v>
      </c>
      <c r="U12" s="23" t="s">
        <v>21</v>
      </c>
      <c r="V12" s="39" t="s">
        <v>22</v>
      </c>
      <c r="W12" s="23" t="s">
        <v>23</v>
      </c>
      <c r="X12" s="37"/>
      <c r="Y12" s="38"/>
    </row>
    <row r="13" ht="14.25" customHeight="1">
      <c r="A13" s="1"/>
      <c r="B13" s="28"/>
      <c r="L13" s="29"/>
      <c r="M13" s="30"/>
      <c r="N13" s="40"/>
      <c r="O13" s="30"/>
      <c r="P13" s="40"/>
      <c r="Q13" s="30"/>
      <c r="R13" s="40"/>
      <c r="S13" s="30"/>
      <c r="T13" s="40"/>
      <c r="U13" s="30"/>
      <c r="V13" s="40"/>
      <c r="W13" s="30"/>
      <c r="X13" s="37"/>
      <c r="Y13" s="38"/>
    </row>
    <row r="14" ht="14.25" customHeight="1">
      <c r="A14" s="1"/>
      <c r="B14" s="31"/>
      <c r="C14" s="32"/>
      <c r="D14" s="32"/>
      <c r="E14" s="32"/>
      <c r="F14" s="32"/>
      <c r="G14" s="32"/>
      <c r="H14" s="32"/>
      <c r="I14" s="32"/>
      <c r="J14" s="32"/>
      <c r="K14" s="32"/>
      <c r="L14" s="33"/>
      <c r="M14" s="41"/>
      <c r="N14" s="42"/>
      <c r="O14" s="41"/>
      <c r="P14" s="42"/>
      <c r="Q14" s="41"/>
      <c r="R14" s="42"/>
      <c r="S14" s="41"/>
      <c r="T14" s="42"/>
      <c r="U14" s="41"/>
      <c r="V14" s="42"/>
      <c r="W14" s="41"/>
      <c r="X14" s="43"/>
      <c r="Y14" s="44"/>
    </row>
    <row r="15" ht="14.25" customHeight="1">
      <c r="A15" s="1"/>
      <c r="B15" s="45">
        <v>1.0</v>
      </c>
      <c r="C15" s="5"/>
      <c r="D15" s="5"/>
      <c r="E15" s="5"/>
      <c r="F15" s="5"/>
      <c r="G15" s="5"/>
      <c r="H15" s="5"/>
      <c r="I15" s="5"/>
      <c r="J15" s="5"/>
      <c r="K15" s="5"/>
      <c r="L15" s="46"/>
      <c r="M15" s="47">
        <v>2.0</v>
      </c>
      <c r="N15" s="48">
        <v>3.0</v>
      </c>
      <c r="O15" s="47">
        <v>4.0</v>
      </c>
      <c r="P15" s="49">
        <v>5.0</v>
      </c>
      <c r="Q15" s="50">
        <v>6.0</v>
      </c>
      <c r="R15" s="51" t="s">
        <v>24</v>
      </c>
      <c r="S15" s="52">
        <v>8.0</v>
      </c>
      <c r="T15" s="51">
        <v>9.0</v>
      </c>
      <c r="U15" s="52">
        <v>10.0</v>
      </c>
      <c r="V15" s="51">
        <v>11.0</v>
      </c>
      <c r="W15" s="52" t="s">
        <v>25</v>
      </c>
      <c r="X15" s="53">
        <v>13.0</v>
      </c>
      <c r="Y15" s="54">
        <v>14.0</v>
      </c>
    </row>
    <row r="16" ht="14.25" customHeight="1">
      <c r="B16" s="55"/>
      <c r="L16" s="29"/>
      <c r="M16" s="56"/>
      <c r="N16" s="57"/>
      <c r="O16" s="56"/>
      <c r="P16" s="57"/>
      <c r="Q16" s="56"/>
      <c r="R16" s="57"/>
      <c r="S16" s="56"/>
      <c r="T16" s="57"/>
      <c r="U16" s="56"/>
      <c r="V16" s="57"/>
      <c r="W16" s="56"/>
      <c r="X16" s="58"/>
      <c r="Y16" s="59"/>
    </row>
    <row r="17" ht="14.25" customHeight="1">
      <c r="B17" s="60" t="s">
        <v>26</v>
      </c>
      <c r="L17" s="61"/>
      <c r="M17" s="62"/>
      <c r="N17" s="63"/>
      <c r="O17" s="62"/>
      <c r="P17" s="63"/>
      <c r="Q17" s="62"/>
      <c r="R17" s="63"/>
      <c r="S17" s="62"/>
      <c r="T17" s="63"/>
      <c r="U17" s="62"/>
      <c r="V17" s="63"/>
      <c r="W17" s="62"/>
      <c r="X17" s="64"/>
      <c r="Y17" s="65"/>
    </row>
    <row r="18" ht="14.25" customHeight="1">
      <c r="B18" s="66" t="s">
        <v>27</v>
      </c>
      <c r="C18" s="67"/>
      <c r="D18" s="67"/>
      <c r="E18" s="67"/>
      <c r="L18" s="61"/>
      <c r="M18" s="62"/>
      <c r="N18" s="64"/>
      <c r="O18" s="68"/>
      <c r="P18" s="64"/>
      <c r="Q18" s="68"/>
      <c r="R18" s="64"/>
      <c r="S18" s="68"/>
      <c r="T18" s="64"/>
      <c r="U18" s="68"/>
      <c r="V18" s="64"/>
      <c r="W18" s="68"/>
      <c r="X18" s="64"/>
      <c r="Y18" s="65"/>
    </row>
    <row r="19" ht="15.0" customHeight="1">
      <c r="B19" s="69"/>
      <c r="C19" s="70"/>
      <c r="L19" s="61"/>
      <c r="M19" s="62"/>
      <c r="N19" s="71"/>
      <c r="O19" s="72"/>
      <c r="P19" s="71"/>
      <c r="Q19" s="72"/>
      <c r="R19" s="64"/>
      <c r="S19" s="72"/>
      <c r="T19" s="71"/>
      <c r="U19" s="72"/>
      <c r="V19" s="71"/>
      <c r="W19" s="68"/>
      <c r="X19" s="73"/>
      <c r="Y19" s="65"/>
    </row>
    <row r="20" ht="14.25" customHeight="1">
      <c r="B20" s="74" t="s">
        <v>28</v>
      </c>
      <c r="C20" s="75"/>
      <c r="L20" s="61"/>
      <c r="M20" s="62"/>
      <c r="N20" s="71"/>
      <c r="O20" s="72"/>
      <c r="P20" s="71"/>
      <c r="Q20" s="72"/>
      <c r="R20" s="64"/>
      <c r="S20" s="72"/>
      <c r="T20" s="71"/>
      <c r="U20" s="72"/>
      <c r="V20" s="71"/>
      <c r="W20" s="68"/>
      <c r="X20" s="64"/>
      <c r="Y20" s="65"/>
    </row>
    <row r="21" ht="15.0" customHeight="1">
      <c r="B21" s="69">
        <v>1.1</v>
      </c>
      <c r="C21" s="70" t="s">
        <v>29</v>
      </c>
      <c r="L21" s="61"/>
      <c r="M21" s="62"/>
      <c r="N21" s="71"/>
      <c r="O21" s="72"/>
      <c r="P21" s="71"/>
      <c r="Q21" s="72"/>
      <c r="R21" s="64"/>
      <c r="S21" s="72"/>
      <c r="T21" s="71"/>
      <c r="U21" s="72"/>
      <c r="V21" s="71"/>
      <c r="W21" s="68"/>
      <c r="X21" s="64"/>
      <c r="Y21" s="76" t="s">
        <v>668</v>
      </c>
    </row>
    <row r="22" ht="14.25" customHeight="1">
      <c r="B22" s="77"/>
      <c r="C22" s="77" t="s">
        <v>31</v>
      </c>
      <c r="L22" s="61"/>
      <c r="M22" s="62"/>
      <c r="N22" s="71"/>
      <c r="O22" s="72"/>
      <c r="P22" s="71"/>
      <c r="Q22" s="72"/>
      <c r="R22" s="505" t="s">
        <v>669</v>
      </c>
      <c r="S22" s="72"/>
      <c r="T22" s="71"/>
      <c r="U22" s="72"/>
      <c r="V22" s="71"/>
      <c r="W22" s="68"/>
      <c r="X22" s="64"/>
      <c r="Y22" s="40"/>
    </row>
    <row r="23" ht="14.25" customHeight="1">
      <c r="B23" s="77"/>
      <c r="C23" s="77" t="s">
        <v>32</v>
      </c>
      <c r="L23" s="61"/>
      <c r="M23" s="62"/>
      <c r="N23" s="71"/>
      <c r="O23" s="72"/>
      <c r="P23" s="71"/>
      <c r="Q23" s="72"/>
      <c r="R23" s="40"/>
      <c r="S23" s="72"/>
      <c r="T23" s="71"/>
      <c r="U23" s="72"/>
      <c r="V23" s="71"/>
      <c r="W23" s="68"/>
      <c r="X23" s="64"/>
      <c r="Y23" s="40"/>
    </row>
    <row r="24" ht="14.25" customHeight="1">
      <c r="B24" s="77"/>
      <c r="C24" s="77" t="s">
        <v>33</v>
      </c>
      <c r="L24" s="61"/>
      <c r="M24" s="62"/>
      <c r="N24" s="71"/>
      <c r="O24" s="72"/>
      <c r="P24" s="71"/>
      <c r="Q24" s="72"/>
      <c r="R24" s="40"/>
      <c r="S24" s="72"/>
      <c r="T24" s="71"/>
      <c r="U24" s="72"/>
      <c r="V24" s="71"/>
      <c r="W24" s="68"/>
      <c r="X24" s="64"/>
      <c r="Y24" s="40"/>
    </row>
    <row r="25" ht="14.25" customHeight="1">
      <c r="B25" s="77"/>
      <c r="C25" s="77" t="s">
        <v>34</v>
      </c>
      <c r="L25" s="61"/>
      <c r="M25" s="62"/>
      <c r="N25" s="71"/>
      <c r="O25" s="72"/>
      <c r="P25" s="71"/>
      <c r="Q25" s="72"/>
      <c r="R25" s="40"/>
      <c r="S25" s="72"/>
      <c r="T25" s="71"/>
      <c r="U25" s="72"/>
      <c r="V25" s="71"/>
      <c r="W25" s="68"/>
      <c r="X25" s="64"/>
      <c r="Y25" s="40"/>
    </row>
    <row r="26" ht="14.25" customHeight="1">
      <c r="B26" s="69"/>
      <c r="C26" s="77" t="s">
        <v>35</v>
      </c>
      <c r="L26" s="61"/>
      <c r="M26" s="62"/>
      <c r="N26" s="79"/>
      <c r="O26" s="80"/>
      <c r="P26" s="79"/>
      <c r="Q26" s="80"/>
      <c r="R26" s="40"/>
      <c r="S26" s="82"/>
      <c r="T26" s="82"/>
      <c r="U26" s="82"/>
      <c r="V26" s="82"/>
      <c r="W26" s="83"/>
      <c r="X26" s="73"/>
      <c r="Y26" s="40"/>
    </row>
    <row r="27" ht="14.25" customHeight="1">
      <c r="B27" s="84"/>
      <c r="C27" s="77" t="s">
        <v>36</v>
      </c>
      <c r="L27" s="61"/>
      <c r="M27" s="62"/>
      <c r="N27" s="85"/>
      <c r="O27" s="86"/>
      <c r="P27" s="85"/>
      <c r="Q27" s="86"/>
      <c r="R27" s="90"/>
      <c r="S27" s="83"/>
      <c r="T27" s="83"/>
      <c r="U27" s="88"/>
      <c r="V27" s="83"/>
      <c r="W27" s="89"/>
      <c r="X27" s="64"/>
      <c r="Y27" s="90"/>
    </row>
    <row r="28" ht="14.25" customHeight="1">
      <c r="B28" s="69">
        <v>1.2</v>
      </c>
      <c r="C28" s="91" t="s">
        <v>37</v>
      </c>
      <c r="L28" s="61"/>
      <c r="M28" s="62"/>
      <c r="N28" s="79"/>
      <c r="O28" s="80"/>
      <c r="P28" s="79"/>
      <c r="Q28" s="80"/>
      <c r="R28" s="92">
        <v>0.9</v>
      </c>
      <c r="S28" s="93">
        <v>0.878</v>
      </c>
      <c r="T28" s="93">
        <v>0.874</v>
      </c>
      <c r="U28" s="93">
        <v>0.9046557144839665</v>
      </c>
      <c r="V28" s="92">
        <v>0.9504</v>
      </c>
      <c r="W28" s="94">
        <f>AVERAGE(S28,T28,U28,V28)</f>
        <v>0.9017639286</v>
      </c>
      <c r="X28" s="93">
        <f>IFERROR(__xludf.DUMMYFUNCTION("+W28-R28"),0.0017639286209916172)</f>
        <v>0.001763928621</v>
      </c>
      <c r="Y28" s="65"/>
    </row>
    <row r="29" ht="14.25" customHeight="1">
      <c r="B29" s="96">
        <v>1.3</v>
      </c>
      <c r="C29" s="97" t="s">
        <v>39</v>
      </c>
      <c r="L29" s="61"/>
      <c r="M29" s="62"/>
      <c r="N29" s="85"/>
      <c r="O29" s="86"/>
      <c r="P29" s="85"/>
      <c r="Q29" s="86"/>
      <c r="R29" s="93">
        <v>0.07</v>
      </c>
      <c r="S29" s="98"/>
      <c r="T29" s="98"/>
      <c r="U29" s="93"/>
      <c r="V29" s="93">
        <v>0.383</v>
      </c>
      <c r="W29" s="94">
        <f>IFERROR(__xludf.DUMMYFUNCTION("+V29"),0.383)</f>
        <v>0.383</v>
      </c>
      <c r="X29" s="93">
        <f>IFERROR(__xludf.DUMMYFUNCTION("+W29-R29"),0.313)</f>
        <v>0.313</v>
      </c>
      <c r="Y29" s="99" t="s">
        <v>670</v>
      </c>
    </row>
    <row r="30" ht="14.25" customHeight="1">
      <c r="B30" s="100">
        <v>1.4</v>
      </c>
      <c r="C30" s="70" t="s">
        <v>41</v>
      </c>
      <c r="L30" s="61"/>
      <c r="M30" s="62"/>
      <c r="N30" s="85"/>
      <c r="O30" s="86"/>
      <c r="P30" s="85"/>
      <c r="Q30" s="86"/>
      <c r="R30" s="92">
        <v>1.0</v>
      </c>
      <c r="S30" s="93">
        <v>0.99</v>
      </c>
      <c r="T30" s="93">
        <v>0.9898</v>
      </c>
      <c r="U30" s="93">
        <v>0.9937562437562437</v>
      </c>
      <c r="V30" s="92">
        <v>0.9803</v>
      </c>
      <c r="W30" s="94">
        <f>AVERAGE(S30,T30,U30,V30)</f>
        <v>0.9884640609</v>
      </c>
      <c r="X30" s="93">
        <f>IFERROR(__xludf.DUMMYFUNCTION("+W30-R30"),-0.011535939060939082)</f>
        <v>-0.01153593906</v>
      </c>
      <c r="Y30" s="65"/>
    </row>
    <row r="31" ht="14.25" customHeight="1">
      <c r="B31" s="100">
        <v>1.5</v>
      </c>
      <c r="C31" s="70" t="s">
        <v>43</v>
      </c>
      <c r="L31" s="61"/>
      <c r="M31" s="62"/>
      <c r="N31" s="85"/>
      <c r="O31" s="86"/>
      <c r="P31" s="85"/>
      <c r="Q31" s="86"/>
      <c r="R31" s="92">
        <v>0.4</v>
      </c>
      <c r="S31" s="83"/>
      <c r="T31" s="93">
        <v>0.51</v>
      </c>
      <c r="U31" s="93">
        <v>0.6674147217235189</v>
      </c>
      <c r="V31" s="92">
        <v>0.7136</v>
      </c>
      <c r="W31" s="94">
        <f>AVERAGE(T31,U31,V31)</f>
        <v>0.6303382406</v>
      </c>
      <c r="X31" s="93">
        <f>IFERROR(__xludf.DUMMYFUNCTION("+W31-R31"),0.23033824057450625)</f>
        <v>0.2303382406</v>
      </c>
      <c r="Y31" s="65"/>
    </row>
    <row r="32" ht="63.75" customHeight="1">
      <c r="B32" s="100">
        <v>1.6</v>
      </c>
      <c r="C32" s="70" t="s">
        <v>44</v>
      </c>
      <c r="L32" s="61"/>
      <c r="M32" s="62"/>
      <c r="N32" s="85"/>
      <c r="O32" s="86"/>
      <c r="P32" s="85"/>
      <c r="Q32" s="103">
        <v>0.8</v>
      </c>
      <c r="R32" s="92">
        <v>0.8</v>
      </c>
      <c r="S32" s="83"/>
      <c r="T32" s="83"/>
      <c r="U32" s="88"/>
      <c r="V32" s="92">
        <v>0.8129</v>
      </c>
      <c r="W32" s="94">
        <f>IFERROR(__xludf.DUMMYFUNCTION("+V32"),0.8129)</f>
        <v>0.8129</v>
      </c>
      <c r="X32" s="104">
        <f>IFERROR(__xludf.DUMMYFUNCTION("+W32-R32"),0.012899999999999912)</f>
        <v>0.0129</v>
      </c>
      <c r="Y32" s="101" t="s">
        <v>671</v>
      </c>
    </row>
    <row r="33" ht="159.0" customHeight="1">
      <c r="A33" s="105"/>
      <c r="B33" s="106">
        <v>1.7</v>
      </c>
      <c r="C33" s="97" t="s">
        <v>46</v>
      </c>
      <c r="D33" s="105"/>
      <c r="E33" s="105"/>
      <c r="F33" s="105"/>
      <c r="G33" s="105"/>
      <c r="H33" s="105"/>
      <c r="I33" s="105"/>
      <c r="J33" s="105"/>
      <c r="K33" s="105"/>
      <c r="L33" s="107"/>
      <c r="M33" s="108"/>
      <c r="N33" s="109"/>
      <c r="O33" s="110"/>
      <c r="P33" s="109"/>
      <c r="Q33" s="111">
        <v>0.8</v>
      </c>
      <c r="R33" s="93">
        <v>0.8</v>
      </c>
      <c r="S33" s="98"/>
      <c r="T33" s="98"/>
      <c r="U33" s="112"/>
      <c r="V33" s="93">
        <v>0.4407</v>
      </c>
      <c r="W33" s="94">
        <f>IFERROR(__xludf.DUMMYFUNCTION("+V33"),0.4407)</f>
        <v>0.4407</v>
      </c>
      <c r="X33" s="104">
        <f>IFERROR(__xludf.DUMMYFUNCTION("+W33-R33"),-0.35930000000000006)</f>
        <v>-0.3593</v>
      </c>
      <c r="Y33" s="101" t="s">
        <v>672</v>
      </c>
      <c r="Z33" s="105"/>
      <c r="AA33" s="105"/>
      <c r="AB33" s="105"/>
      <c r="AC33" s="105"/>
      <c r="AD33" s="105"/>
      <c r="AE33" s="105"/>
    </row>
    <row r="34" ht="14.25" customHeight="1">
      <c r="B34" s="113">
        <v>1.8</v>
      </c>
      <c r="C34" s="118" t="s">
        <v>47</v>
      </c>
      <c r="L34" s="61"/>
      <c r="M34" s="62"/>
      <c r="N34" s="114"/>
      <c r="O34" s="115"/>
      <c r="P34" s="114"/>
      <c r="Q34" s="115"/>
      <c r="R34" s="92">
        <v>0.4</v>
      </c>
      <c r="S34" s="92"/>
      <c r="T34" s="92"/>
      <c r="U34" s="116"/>
      <c r="V34" s="92"/>
      <c r="W34" s="94" t="str">
        <f>IFERROR(__xludf.DUMMYFUNCTION("+T34"),"")</f>
        <v/>
      </c>
      <c r="X34" s="93">
        <f>IFERROR(__xludf.DUMMYFUNCTION("+W34-R34"),-0.4)</f>
        <v>-0.4</v>
      </c>
      <c r="Y34" s="99" t="s">
        <v>48</v>
      </c>
    </row>
    <row r="35" ht="14.25" customHeight="1">
      <c r="B35" s="60" t="s">
        <v>49</v>
      </c>
      <c r="L35" s="61"/>
      <c r="M35" s="62"/>
      <c r="N35" s="64"/>
      <c r="O35" s="68"/>
      <c r="P35" s="64"/>
      <c r="Q35" s="68"/>
      <c r="R35" s="64"/>
      <c r="S35" s="64"/>
      <c r="T35" s="64"/>
      <c r="U35" s="117"/>
      <c r="V35" s="63"/>
      <c r="W35" s="89"/>
      <c r="X35" s="64"/>
      <c r="Y35" s="65"/>
    </row>
    <row r="36" ht="14.25" customHeight="1">
      <c r="B36" s="113">
        <v>1.1</v>
      </c>
      <c r="C36" s="118" t="s">
        <v>50</v>
      </c>
      <c r="L36" s="61"/>
      <c r="M36" s="62"/>
      <c r="N36" s="64"/>
      <c r="O36" s="68"/>
      <c r="P36" s="64"/>
      <c r="Q36" s="68"/>
      <c r="R36" s="64"/>
      <c r="S36" s="64"/>
      <c r="T36" s="64"/>
      <c r="U36" s="117"/>
      <c r="V36" s="63"/>
      <c r="W36" s="89"/>
      <c r="X36" s="64"/>
      <c r="Y36" s="65"/>
    </row>
    <row r="37" ht="14.25" customHeight="1">
      <c r="B37" s="69"/>
      <c r="C37" s="70" t="s">
        <v>51</v>
      </c>
      <c r="L37" s="61"/>
      <c r="M37" s="62"/>
      <c r="N37" s="83"/>
      <c r="O37" s="68"/>
      <c r="P37" s="83"/>
      <c r="Q37" s="119"/>
      <c r="R37" s="98"/>
      <c r="S37" s="83"/>
      <c r="T37" s="83"/>
      <c r="U37" s="88"/>
      <c r="V37" s="83"/>
      <c r="W37" s="87"/>
      <c r="X37" s="83"/>
      <c r="Y37" s="65"/>
    </row>
    <row r="38" ht="14.25" customHeight="1">
      <c r="B38" s="69"/>
      <c r="C38" s="77" t="s">
        <v>673</v>
      </c>
      <c r="L38" s="61"/>
      <c r="M38" s="62"/>
      <c r="N38" s="83"/>
      <c r="O38" s="68"/>
      <c r="P38" s="83"/>
      <c r="Q38" s="119"/>
      <c r="R38" s="98">
        <v>224902.0</v>
      </c>
      <c r="S38" s="83"/>
      <c r="T38" s="83">
        <v>234703.0</v>
      </c>
      <c r="U38" s="88"/>
      <c r="V38" s="83"/>
      <c r="W38" s="87">
        <f>IFERROR(__xludf.DUMMYFUNCTION("+T38"),234703.0)</f>
        <v>234703</v>
      </c>
      <c r="X38" s="83">
        <f>IFERROR(__xludf.DUMMYFUNCTION("+W38-R38"),9801.0)</f>
        <v>9801</v>
      </c>
      <c r="Y38" s="76" t="s">
        <v>674</v>
      </c>
    </row>
    <row r="39" ht="14.25" customHeight="1">
      <c r="B39" s="69"/>
      <c r="C39" s="77" t="s">
        <v>675</v>
      </c>
      <c r="L39" s="61"/>
      <c r="M39" s="62"/>
      <c r="N39" s="83"/>
      <c r="O39" s="68"/>
      <c r="P39" s="83"/>
      <c r="Q39" s="119"/>
      <c r="R39" s="98">
        <v>224902.0</v>
      </c>
      <c r="S39" s="83"/>
      <c r="T39" s="83">
        <v>236760.0</v>
      </c>
      <c r="U39" s="88"/>
      <c r="V39" s="83"/>
      <c r="W39" s="87">
        <f>IFERROR(__xludf.DUMMYFUNCTION("+T39"),236760.0)</f>
        <v>236760</v>
      </c>
      <c r="X39" s="83">
        <f>IFERROR(__xludf.DUMMYFUNCTION("+W39-R39"),11858.0)</f>
        <v>11858</v>
      </c>
      <c r="Y39" s="40"/>
    </row>
    <row r="40" ht="14.25" customHeight="1">
      <c r="B40" s="69"/>
      <c r="C40" s="77" t="s">
        <v>676</v>
      </c>
      <c r="L40" s="61"/>
      <c r="M40" s="62"/>
      <c r="N40" s="83"/>
      <c r="O40" s="68"/>
      <c r="P40" s="83"/>
      <c r="Q40" s="119"/>
      <c r="R40" s="98">
        <v>224902.0</v>
      </c>
      <c r="S40" s="83"/>
      <c r="T40" s="83"/>
      <c r="U40" s="88">
        <v>236637.0</v>
      </c>
      <c r="V40" s="83"/>
      <c r="W40" s="87">
        <f>IFERROR(__xludf.DUMMYFUNCTION("+U40"),236637.0)</f>
        <v>236637</v>
      </c>
      <c r="X40" s="83">
        <f>IFERROR(__xludf.DUMMYFUNCTION("+W40-R40"),11735.0)</f>
        <v>11735</v>
      </c>
      <c r="Y40" s="40"/>
    </row>
    <row r="41" ht="14.25" customHeight="1">
      <c r="B41" s="69"/>
      <c r="C41" s="77" t="s">
        <v>677</v>
      </c>
      <c r="L41" s="61"/>
      <c r="M41" s="62"/>
      <c r="N41" s="83"/>
      <c r="O41" s="68"/>
      <c r="P41" s="83"/>
      <c r="Q41" s="119"/>
      <c r="R41" s="98">
        <v>224902.0</v>
      </c>
      <c r="S41" s="83"/>
      <c r="T41" s="83"/>
      <c r="U41" s="88">
        <v>192621.0</v>
      </c>
      <c r="V41" s="83"/>
      <c r="W41" s="87">
        <f>IFERROR(__xludf.DUMMYFUNCTION("+U41"),192621.0)</f>
        <v>192621</v>
      </c>
      <c r="X41" s="83">
        <f>IFERROR(__xludf.DUMMYFUNCTION("+W41-R41"),-32281.0)</f>
        <v>-32281</v>
      </c>
      <c r="Y41" s="40"/>
    </row>
    <row r="42" ht="14.25" customHeight="1">
      <c r="B42" s="69"/>
      <c r="C42" s="77" t="s">
        <v>678</v>
      </c>
      <c r="L42" s="61"/>
      <c r="M42" s="62"/>
      <c r="N42" s="83"/>
      <c r="O42" s="68"/>
      <c r="P42" s="83"/>
      <c r="Q42" s="119"/>
      <c r="R42" s="98">
        <v>224902.0</v>
      </c>
      <c r="S42" s="83"/>
      <c r="T42" s="83"/>
      <c r="U42" s="88"/>
      <c r="V42" s="83">
        <v>228660.0</v>
      </c>
      <c r="W42" s="87">
        <f>IFERROR(__xludf.DUMMYFUNCTION("+V42"),228660.0)</f>
        <v>228660</v>
      </c>
      <c r="X42" s="83">
        <f>IFERROR(__xludf.DUMMYFUNCTION("+W42-R42"),3758.0)</f>
        <v>3758</v>
      </c>
      <c r="Y42" s="40"/>
    </row>
    <row r="43" ht="14.25" customHeight="1">
      <c r="B43" s="69"/>
      <c r="C43" s="77" t="s">
        <v>679</v>
      </c>
      <c r="L43" s="61"/>
      <c r="M43" s="62"/>
      <c r="N43" s="83"/>
      <c r="O43" s="68"/>
      <c r="P43" s="83"/>
      <c r="Q43" s="119"/>
      <c r="R43" s="98">
        <v>224902.0</v>
      </c>
      <c r="S43" s="83"/>
      <c r="T43" s="83"/>
      <c r="U43" s="88"/>
      <c r="V43" s="83">
        <v>227661.0</v>
      </c>
      <c r="W43" s="87">
        <f>IFERROR(__xludf.DUMMYFUNCTION("+V43"),227661.0)</f>
        <v>227661</v>
      </c>
      <c r="X43" s="83">
        <f>IFERROR(__xludf.DUMMYFUNCTION("+W43-R43"),2759.0)</f>
        <v>2759</v>
      </c>
      <c r="Y43" s="40"/>
    </row>
    <row r="44" ht="14.25" customHeight="1">
      <c r="B44" s="100"/>
      <c r="C44" s="70" t="s">
        <v>58</v>
      </c>
      <c r="L44" s="61"/>
      <c r="M44" s="62"/>
      <c r="N44" s="83"/>
      <c r="O44" s="68"/>
      <c r="P44" s="83"/>
      <c r="Q44" s="119"/>
      <c r="R44" s="98"/>
      <c r="S44" s="83"/>
      <c r="T44" s="83"/>
      <c r="U44" s="88"/>
      <c r="V44" s="83"/>
      <c r="W44" s="87"/>
      <c r="X44" s="83"/>
      <c r="Y44" s="40"/>
    </row>
    <row r="45" ht="14.25" customHeight="1">
      <c r="B45" s="69"/>
      <c r="C45" s="77" t="s">
        <v>673</v>
      </c>
      <c r="L45" s="61"/>
      <c r="M45" s="62"/>
      <c r="N45" s="83"/>
      <c r="O45" s="68"/>
      <c r="P45" s="83"/>
      <c r="Q45" s="119"/>
      <c r="R45" s="98">
        <v>16891.0</v>
      </c>
      <c r="S45" s="83"/>
      <c r="T45" s="83">
        <v>17274.0</v>
      </c>
      <c r="U45" s="88"/>
      <c r="V45" s="83"/>
      <c r="W45" s="87">
        <f>IFERROR(__xludf.DUMMYFUNCTION("+T45"),17274.0)</f>
        <v>17274</v>
      </c>
      <c r="X45" s="83">
        <f>IFERROR(__xludf.DUMMYFUNCTION("+W45-R45"),383.0)</f>
        <v>383</v>
      </c>
      <c r="Y45" s="40"/>
    </row>
    <row r="46" ht="14.25" customHeight="1">
      <c r="B46" s="69"/>
      <c r="C46" s="77" t="s">
        <v>675</v>
      </c>
      <c r="L46" s="61"/>
      <c r="M46" s="62"/>
      <c r="N46" s="83"/>
      <c r="O46" s="68"/>
      <c r="P46" s="83"/>
      <c r="Q46" s="119"/>
      <c r="R46" s="98">
        <v>16891.0</v>
      </c>
      <c r="S46" s="83"/>
      <c r="T46" s="83">
        <v>16831.0</v>
      </c>
      <c r="U46" s="88"/>
      <c r="V46" s="83"/>
      <c r="W46" s="87">
        <f>IFERROR(__xludf.DUMMYFUNCTION("+T46"),16831.0)</f>
        <v>16831</v>
      </c>
      <c r="X46" s="83">
        <f>IFERROR(__xludf.DUMMYFUNCTION("+W46-R46"),-60.0)</f>
        <v>-60</v>
      </c>
      <c r="Y46" s="40"/>
    </row>
    <row r="47" ht="14.25" customHeight="1">
      <c r="B47" s="69"/>
      <c r="C47" s="77" t="s">
        <v>676</v>
      </c>
      <c r="L47" s="61"/>
      <c r="M47" s="62"/>
      <c r="N47" s="83"/>
      <c r="O47" s="68"/>
      <c r="P47" s="83"/>
      <c r="Q47" s="119"/>
      <c r="R47" s="98">
        <v>16891.0</v>
      </c>
      <c r="S47" s="83"/>
      <c r="T47" s="83"/>
      <c r="U47" s="88">
        <v>16534.0</v>
      </c>
      <c r="V47" s="83"/>
      <c r="W47" s="87">
        <f>IFERROR(__xludf.DUMMYFUNCTION("+U47"),16534.0)</f>
        <v>16534</v>
      </c>
      <c r="X47" s="83">
        <f>IFERROR(__xludf.DUMMYFUNCTION("+W47-R47"),-357.0)</f>
        <v>-357</v>
      </c>
      <c r="Y47" s="40"/>
    </row>
    <row r="48" ht="14.25" customHeight="1">
      <c r="B48" s="69"/>
      <c r="C48" s="77" t="s">
        <v>677</v>
      </c>
      <c r="L48" s="61"/>
      <c r="M48" s="62"/>
      <c r="N48" s="83"/>
      <c r="O48" s="68"/>
      <c r="P48" s="83"/>
      <c r="Q48" s="119"/>
      <c r="R48" s="98">
        <v>16891.0</v>
      </c>
      <c r="S48" s="83"/>
      <c r="T48" s="83"/>
      <c r="U48" s="88">
        <v>16044.0</v>
      </c>
      <c r="V48" s="83"/>
      <c r="W48" s="87">
        <f>IFERROR(__xludf.DUMMYFUNCTION("+U48"),16044.0)</f>
        <v>16044</v>
      </c>
      <c r="X48" s="83">
        <f>IFERROR(__xludf.DUMMYFUNCTION("+W48-R48"),-847.0)</f>
        <v>-847</v>
      </c>
      <c r="Y48" s="40"/>
    </row>
    <row r="49" ht="14.25" customHeight="1">
      <c r="B49" s="69"/>
      <c r="C49" s="77" t="s">
        <v>678</v>
      </c>
      <c r="L49" s="61"/>
      <c r="M49" s="62"/>
      <c r="N49" s="120"/>
      <c r="O49" s="121"/>
      <c r="P49" s="120"/>
      <c r="Q49" s="122"/>
      <c r="R49" s="98">
        <v>16891.0</v>
      </c>
      <c r="S49" s="120"/>
      <c r="T49" s="120"/>
      <c r="U49" s="123"/>
      <c r="V49" s="120">
        <v>16770.0</v>
      </c>
      <c r="W49" s="124">
        <f>IFERROR(__xludf.DUMMYFUNCTION("+V49"),16770.0)</f>
        <v>16770</v>
      </c>
      <c r="X49" s="83">
        <f>IFERROR(__xludf.DUMMYFUNCTION("+W49-R49"),-121.0)</f>
        <v>-121</v>
      </c>
      <c r="Y49" s="40"/>
    </row>
    <row r="50" ht="14.25" customHeight="1">
      <c r="B50" s="69"/>
      <c r="C50" s="77" t="s">
        <v>679</v>
      </c>
      <c r="L50" s="61"/>
      <c r="M50" s="62"/>
      <c r="N50" s="120"/>
      <c r="O50" s="121"/>
      <c r="P50" s="120"/>
      <c r="Q50" s="122"/>
      <c r="R50" s="98">
        <v>16891.0</v>
      </c>
      <c r="S50" s="120"/>
      <c r="T50" s="120"/>
      <c r="U50" s="123"/>
      <c r="V50" s="120">
        <v>16792.0</v>
      </c>
      <c r="W50" s="124">
        <f>IFERROR(__xludf.DUMMYFUNCTION("+V50"),16792.0)</f>
        <v>16792</v>
      </c>
      <c r="X50" s="83">
        <f>IFERROR(__xludf.DUMMYFUNCTION("+W50-R50"),-99.0)</f>
        <v>-99</v>
      </c>
      <c r="Y50" s="90"/>
    </row>
    <row r="51" ht="14.25" customHeight="1">
      <c r="A51" s="105"/>
      <c r="B51" s="125">
        <v>1.2</v>
      </c>
      <c r="C51" s="126" t="s">
        <v>59</v>
      </c>
      <c r="D51" s="105"/>
      <c r="E51" s="105"/>
      <c r="F51" s="105"/>
      <c r="G51" s="105"/>
      <c r="H51" s="105"/>
      <c r="I51" s="105"/>
      <c r="J51" s="105"/>
      <c r="K51" s="105"/>
      <c r="L51" s="107"/>
      <c r="M51" s="108"/>
      <c r="N51" s="127"/>
      <c r="O51" s="128"/>
      <c r="P51" s="127"/>
      <c r="Q51" s="129"/>
      <c r="R51" s="130">
        <v>0.8925</v>
      </c>
      <c r="S51" s="130">
        <v>0.9449</v>
      </c>
      <c r="T51" s="130">
        <v>0.9868</v>
      </c>
      <c r="U51" s="131">
        <v>0.971733141693616</v>
      </c>
      <c r="V51" s="130">
        <v>0.9744</v>
      </c>
      <c r="W51" s="132">
        <f>IFERROR(__xludf.DUMMYFUNCTION("+V51"),0.9744)</f>
        <v>0.9744</v>
      </c>
      <c r="X51" s="130">
        <f>IFERROR(__xludf.DUMMYFUNCTION("+W51-R51"),0.08190000000000008)</f>
        <v>0.0819</v>
      </c>
      <c r="Y51" s="99" t="s">
        <v>680</v>
      </c>
      <c r="Z51" s="105"/>
      <c r="AA51" s="105"/>
      <c r="AB51" s="105"/>
      <c r="AC51" s="105"/>
      <c r="AD51" s="105"/>
      <c r="AE51" s="105"/>
    </row>
    <row r="52" ht="14.25" customHeight="1">
      <c r="B52" s="113">
        <v>1.3</v>
      </c>
      <c r="C52" s="77" t="s">
        <v>60</v>
      </c>
      <c r="L52" s="61"/>
      <c r="M52" s="62"/>
      <c r="N52" s="120"/>
      <c r="O52" s="121"/>
      <c r="P52" s="120"/>
      <c r="Q52" s="122"/>
      <c r="R52" s="127"/>
      <c r="S52" s="120"/>
      <c r="T52" s="120"/>
      <c r="U52" s="123"/>
      <c r="V52" s="120"/>
      <c r="W52" s="124"/>
      <c r="X52" s="120"/>
      <c r="Y52" s="65"/>
    </row>
    <row r="53" ht="14.25" customHeight="1">
      <c r="B53" s="506"/>
      <c r="C53" s="137" t="s">
        <v>681</v>
      </c>
      <c r="D53" s="126"/>
      <c r="E53" s="126"/>
      <c r="F53" s="126"/>
      <c r="G53" s="126"/>
      <c r="H53" s="126"/>
      <c r="I53" s="126"/>
      <c r="J53" s="126"/>
      <c r="K53" s="126"/>
      <c r="L53" s="507"/>
      <c r="M53" s="62"/>
      <c r="N53" s="127">
        <v>4710.0</v>
      </c>
      <c r="O53" s="129">
        <v>4710.0</v>
      </c>
      <c r="P53" s="127">
        <v>4710.0</v>
      </c>
      <c r="Q53" s="129">
        <v>4713.0</v>
      </c>
      <c r="R53" s="127">
        <v>18843.0</v>
      </c>
      <c r="S53" s="127">
        <v>1143.0</v>
      </c>
      <c r="T53" s="127">
        <v>6343.0</v>
      </c>
      <c r="U53" s="346">
        <v>11898.0</v>
      </c>
      <c r="V53" s="127">
        <v>4314.0</v>
      </c>
      <c r="W53" s="508">
        <f>IFERROR(__xludf.DUMMYFUNCTION("+S53+T53+U53+V53"),23698.0)</f>
        <v>23698</v>
      </c>
      <c r="X53" s="127">
        <f>IFERROR(__xludf.DUMMYFUNCTION("+W53-R53"),4855.0)</f>
        <v>4855</v>
      </c>
      <c r="Y53" s="65"/>
    </row>
    <row r="54" ht="14.25" customHeight="1">
      <c r="B54" s="506"/>
      <c r="C54" s="137" t="s">
        <v>682</v>
      </c>
      <c r="D54" s="126"/>
      <c r="E54" s="126"/>
      <c r="F54" s="126"/>
      <c r="G54" s="126"/>
      <c r="H54" s="126"/>
      <c r="I54" s="126"/>
      <c r="J54" s="126"/>
      <c r="K54" s="126"/>
      <c r="L54" s="507"/>
      <c r="M54" s="62"/>
      <c r="N54" s="509" t="s">
        <v>368</v>
      </c>
      <c r="O54" s="510" t="s">
        <v>368</v>
      </c>
      <c r="P54" s="127">
        <v>1657.0</v>
      </c>
      <c r="Q54" s="129">
        <v>2487.0</v>
      </c>
      <c r="R54" s="127">
        <v>4144.0</v>
      </c>
      <c r="S54" s="127"/>
      <c r="T54" s="127"/>
      <c r="U54" s="346">
        <v>3227.0</v>
      </c>
      <c r="V54" s="127">
        <v>2540.0</v>
      </c>
      <c r="W54" s="508">
        <f>IFERROR(__xludf.DUMMYFUNCTION("+S54+T54+U54+V54"),5767.0)</f>
        <v>5767</v>
      </c>
      <c r="X54" s="127">
        <f>IFERROR(__xludf.DUMMYFUNCTION("+W54-R54"),1623.0)</f>
        <v>1623</v>
      </c>
      <c r="Y54" s="65"/>
    </row>
    <row r="55" ht="14.25" customHeight="1">
      <c r="B55" s="100">
        <v>1.5</v>
      </c>
      <c r="C55" s="77" t="s">
        <v>64</v>
      </c>
      <c r="L55" s="61"/>
      <c r="M55" s="62"/>
      <c r="N55" s="83"/>
      <c r="O55" s="68"/>
      <c r="P55" s="83"/>
      <c r="Q55" s="119"/>
      <c r="R55" s="64"/>
      <c r="S55" s="134"/>
      <c r="T55" s="83"/>
      <c r="U55" s="135"/>
      <c r="V55" s="63"/>
      <c r="W55" s="136"/>
      <c r="X55" s="63"/>
      <c r="Y55" s="65"/>
    </row>
    <row r="56" ht="14.25" customHeight="1">
      <c r="B56" s="100"/>
      <c r="C56" s="126" t="s">
        <v>65</v>
      </c>
      <c r="L56" s="61"/>
      <c r="M56" s="62"/>
      <c r="N56" s="64">
        <v>1.0</v>
      </c>
      <c r="O56" s="64">
        <v>1.0</v>
      </c>
      <c r="P56" s="64">
        <v>1.0</v>
      </c>
      <c r="Q56" s="64">
        <v>1.0</v>
      </c>
      <c r="R56" s="64">
        <v>1.0</v>
      </c>
      <c r="S56" s="83">
        <v>1.0</v>
      </c>
      <c r="T56" s="83">
        <v>1.0</v>
      </c>
      <c r="U56" s="88">
        <v>1.0</v>
      </c>
      <c r="V56" s="64">
        <v>1.0</v>
      </c>
      <c r="W56" s="87">
        <f>IFERROR(__xludf.DUMMYFUNCTION("+T56"),1.0)</f>
        <v>1</v>
      </c>
      <c r="X56" s="83">
        <f>IFERROR(__xludf.DUMMYFUNCTION("+W56-R56"),0.0)</f>
        <v>0</v>
      </c>
      <c r="Y56" s="65"/>
    </row>
    <row r="57" ht="14.25" customHeight="1">
      <c r="B57" s="100"/>
      <c r="C57" s="126" t="s">
        <v>66</v>
      </c>
      <c r="L57" s="61"/>
      <c r="M57" s="62"/>
      <c r="N57" s="64">
        <v>4.0</v>
      </c>
      <c r="O57" s="64">
        <v>4.0</v>
      </c>
      <c r="P57" s="64">
        <v>4.0</v>
      </c>
      <c r="Q57" s="64">
        <v>4.0</v>
      </c>
      <c r="R57" s="64">
        <v>4.0</v>
      </c>
      <c r="S57" s="83">
        <v>4.0</v>
      </c>
      <c r="T57" s="83">
        <v>4.0</v>
      </c>
      <c r="U57" s="88">
        <v>4.0</v>
      </c>
      <c r="V57" s="64">
        <v>4.0</v>
      </c>
      <c r="W57" s="87">
        <f>IFERROR(__xludf.DUMMYFUNCTION("+T57"),4.0)</f>
        <v>4</v>
      </c>
      <c r="X57" s="83">
        <f>IFERROR(__xludf.DUMMYFUNCTION("+W57-R57"),0.0)</f>
        <v>0</v>
      </c>
      <c r="Y57" s="65"/>
    </row>
    <row r="58" ht="14.25" customHeight="1">
      <c r="B58" s="100"/>
      <c r="C58" s="137" t="s">
        <v>67</v>
      </c>
      <c r="L58" s="61"/>
      <c r="M58" s="62"/>
      <c r="N58" s="64">
        <v>43.0</v>
      </c>
      <c r="O58" s="64">
        <v>38.0</v>
      </c>
      <c r="P58" s="64">
        <v>38.0</v>
      </c>
      <c r="Q58" s="64">
        <v>38.0</v>
      </c>
      <c r="R58" s="64">
        <v>38.0</v>
      </c>
      <c r="S58" s="68">
        <v>43.0</v>
      </c>
      <c r="T58" s="64">
        <v>43.0</v>
      </c>
      <c r="U58" s="117">
        <v>43.0</v>
      </c>
      <c r="V58" s="64">
        <v>38.0</v>
      </c>
      <c r="W58" s="87">
        <f>IFERROR(__xludf.DUMMYFUNCTION("+T58"),43.0)</f>
        <v>43</v>
      </c>
      <c r="X58" s="83">
        <f>IFERROR(__xludf.DUMMYFUNCTION("+W58-R58"),5.0)</f>
        <v>5</v>
      </c>
      <c r="Y58" s="65"/>
    </row>
    <row r="59" ht="14.25" customHeight="1">
      <c r="B59" s="60"/>
      <c r="C59" s="118" t="s">
        <v>68</v>
      </c>
      <c r="L59" s="61"/>
      <c r="M59" s="62"/>
      <c r="N59" s="64">
        <v>749.0</v>
      </c>
      <c r="O59" s="64">
        <v>688.0</v>
      </c>
      <c r="P59" s="64">
        <v>688.0</v>
      </c>
      <c r="Q59" s="64">
        <v>688.0</v>
      </c>
      <c r="R59" s="64">
        <v>688.0</v>
      </c>
      <c r="S59" s="68">
        <v>749.0</v>
      </c>
      <c r="T59" s="64">
        <v>688.0</v>
      </c>
      <c r="U59" s="117">
        <v>688.0</v>
      </c>
      <c r="V59" s="64">
        <v>688.0</v>
      </c>
      <c r="W59" s="87">
        <f>IFERROR(__xludf.DUMMYFUNCTION("+T59"),688.0)</f>
        <v>688</v>
      </c>
      <c r="X59" s="83">
        <f>IFERROR(__xludf.DUMMYFUNCTION("+W59-R59"),0.0)</f>
        <v>0</v>
      </c>
      <c r="Y59" s="65"/>
    </row>
    <row r="60" ht="14.25" customHeight="1">
      <c r="B60" s="113">
        <v>1.6</v>
      </c>
      <c r="C60" s="118" t="s">
        <v>69</v>
      </c>
      <c r="L60" s="61"/>
      <c r="M60" s="62"/>
      <c r="N60" s="64"/>
      <c r="O60" s="68"/>
      <c r="P60" s="64"/>
      <c r="Q60" s="68"/>
      <c r="R60" s="64"/>
      <c r="S60" s="68"/>
      <c r="T60" s="64"/>
      <c r="U60" s="117"/>
      <c r="V60" s="64"/>
      <c r="W60" s="87"/>
      <c r="X60" s="83"/>
      <c r="Y60" s="65"/>
    </row>
    <row r="61" ht="14.25" customHeight="1">
      <c r="B61" s="113"/>
      <c r="D61" s="133" t="s">
        <v>683</v>
      </c>
      <c r="L61" s="61"/>
      <c r="M61" s="62"/>
      <c r="N61" s="64">
        <v>6.0</v>
      </c>
      <c r="O61" s="68" t="s">
        <v>368</v>
      </c>
      <c r="P61" s="64" t="s">
        <v>368</v>
      </c>
      <c r="Q61" s="68" t="s">
        <v>368</v>
      </c>
      <c r="R61" s="64">
        <v>6.0</v>
      </c>
      <c r="S61" s="68">
        <v>2.0</v>
      </c>
      <c r="T61" s="64">
        <v>5.0</v>
      </c>
      <c r="U61" s="117">
        <v>6.0</v>
      </c>
      <c r="V61" s="64">
        <v>6.0</v>
      </c>
      <c r="W61" s="87">
        <f>IFERROR(__xludf.DUMMYFUNCTION("+V61"),6.0)</f>
        <v>6</v>
      </c>
      <c r="X61" s="83">
        <f>IFERROR(__xludf.DUMMYFUNCTION("+W61-R61"),0.0)</f>
        <v>0</v>
      </c>
      <c r="Y61" s="65"/>
    </row>
    <row r="62" ht="14.25" customHeight="1">
      <c r="B62" s="113"/>
      <c r="D62" s="133" t="s">
        <v>684</v>
      </c>
      <c r="L62" s="61"/>
      <c r="M62" s="62"/>
      <c r="N62" s="64">
        <v>26.0</v>
      </c>
      <c r="O62" s="68" t="s">
        <v>368</v>
      </c>
      <c r="P62" s="64" t="s">
        <v>368</v>
      </c>
      <c r="Q62" s="68" t="s">
        <v>368</v>
      </c>
      <c r="R62" s="64">
        <v>26.0</v>
      </c>
      <c r="S62" s="68">
        <v>16.0</v>
      </c>
      <c r="T62" s="64">
        <v>25.0</v>
      </c>
      <c r="U62" s="117">
        <v>26.0</v>
      </c>
      <c r="V62" s="64">
        <v>26.0</v>
      </c>
      <c r="W62" s="87">
        <f>IFERROR(__xludf.DUMMYFUNCTION("+V62"),26.0)</f>
        <v>26</v>
      </c>
      <c r="X62" s="83">
        <f>IFERROR(__xludf.DUMMYFUNCTION("+W62-R62"),0.0)</f>
        <v>0</v>
      </c>
      <c r="Y62" s="65"/>
    </row>
    <row r="63" ht="14.25" customHeight="1">
      <c r="B63" s="113"/>
      <c r="D63" s="133" t="s">
        <v>685</v>
      </c>
      <c r="L63" s="61"/>
      <c r="M63" s="62"/>
      <c r="N63" s="64">
        <v>76.0</v>
      </c>
      <c r="O63" s="68">
        <v>76.0</v>
      </c>
      <c r="P63" s="64">
        <v>76.0</v>
      </c>
      <c r="Q63" s="68">
        <v>78.0</v>
      </c>
      <c r="R63" s="64">
        <v>306.0</v>
      </c>
      <c r="S63" s="68">
        <v>202.0</v>
      </c>
      <c r="T63" s="64">
        <v>288.0</v>
      </c>
      <c r="U63" s="117">
        <v>305.0</v>
      </c>
      <c r="V63" s="64">
        <v>306.0</v>
      </c>
      <c r="W63" s="87">
        <f>IFERROR(__xludf.DUMMYFUNCTION("+V63"),306.0)</f>
        <v>306</v>
      </c>
      <c r="X63" s="83">
        <f>IFERROR(__xludf.DUMMYFUNCTION("+W63-R63"),0.0)</f>
        <v>0</v>
      </c>
      <c r="Y63" s="65"/>
    </row>
    <row r="64" ht="14.25" customHeight="1">
      <c r="B64" s="113"/>
      <c r="D64" s="133" t="s">
        <v>70</v>
      </c>
      <c r="L64" s="61"/>
      <c r="M64" s="62"/>
      <c r="N64" s="64">
        <v>68.0</v>
      </c>
      <c r="O64" s="68">
        <v>68.0</v>
      </c>
      <c r="P64" s="64">
        <v>68.0</v>
      </c>
      <c r="Q64" s="68">
        <v>69.0</v>
      </c>
      <c r="R64" s="64">
        <v>273.0</v>
      </c>
      <c r="S64" s="511" t="s">
        <v>368</v>
      </c>
      <c r="T64" s="64">
        <v>26.0</v>
      </c>
      <c r="U64" s="117">
        <v>145.0</v>
      </c>
      <c r="V64" s="64">
        <v>245.0</v>
      </c>
      <c r="W64" s="87">
        <f>IFERROR(__xludf.DUMMYFUNCTION("+V64"),245.0)</f>
        <v>245</v>
      </c>
      <c r="X64" s="83">
        <f>IFERROR(__xludf.DUMMYFUNCTION("+W64-R64"),-28.0)</f>
        <v>-28</v>
      </c>
      <c r="Y64" s="65"/>
    </row>
    <row r="65" ht="14.25" customHeight="1">
      <c r="B65" s="113"/>
      <c r="D65" s="133" t="s">
        <v>74</v>
      </c>
      <c r="L65" s="61"/>
      <c r="M65" s="62"/>
      <c r="N65" s="64">
        <v>12.0</v>
      </c>
      <c r="O65" s="68">
        <v>12.0</v>
      </c>
      <c r="P65" s="64">
        <v>12.0</v>
      </c>
      <c r="Q65" s="68">
        <v>13.0</v>
      </c>
      <c r="R65" s="64">
        <v>49.0</v>
      </c>
      <c r="S65" s="68">
        <v>18.0</v>
      </c>
      <c r="T65" s="64">
        <v>20.0</v>
      </c>
      <c r="U65" s="117">
        <v>21.0</v>
      </c>
      <c r="V65" s="64">
        <v>21.0</v>
      </c>
      <c r="W65" s="87">
        <f>IFERROR(__xludf.DUMMYFUNCTION("+V65"),21.0)</f>
        <v>21</v>
      </c>
      <c r="X65" s="83">
        <f>IFERROR(__xludf.DUMMYFUNCTION("+W65-R65"),-28.0)</f>
        <v>-28</v>
      </c>
      <c r="Y65" s="65"/>
    </row>
    <row r="66" ht="14.25" customHeight="1">
      <c r="B66" s="113"/>
      <c r="D66" s="133" t="s">
        <v>75</v>
      </c>
      <c r="L66" s="61"/>
      <c r="M66" s="62"/>
      <c r="N66" s="64">
        <v>4.0</v>
      </c>
      <c r="O66" s="68">
        <v>9.0</v>
      </c>
      <c r="P66" s="64">
        <v>17.0</v>
      </c>
      <c r="Q66" s="68">
        <v>13.0</v>
      </c>
      <c r="R66" s="64">
        <v>43.0</v>
      </c>
      <c r="S66" s="511" t="s">
        <v>368</v>
      </c>
      <c r="T66" s="64">
        <v>11.0</v>
      </c>
      <c r="U66" s="117">
        <v>12.0</v>
      </c>
      <c r="V66" s="64">
        <v>14.0</v>
      </c>
      <c r="W66" s="87">
        <f>IFERROR(__xludf.DUMMYFUNCTION("+V66"),14.0)</f>
        <v>14</v>
      </c>
      <c r="X66" s="83">
        <f>IFERROR(__xludf.DUMMYFUNCTION("+W66-R66"),-29.0)</f>
        <v>-29</v>
      </c>
      <c r="Y66" s="65"/>
    </row>
    <row r="67" ht="14.25" customHeight="1">
      <c r="B67" s="113"/>
      <c r="D67" s="133" t="s">
        <v>77</v>
      </c>
      <c r="L67" s="61"/>
      <c r="M67" s="62"/>
      <c r="N67" s="64">
        <v>18.0</v>
      </c>
      <c r="O67" s="68">
        <v>18.0</v>
      </c>
      <c r="P67" s="64">
        <v>18.0</v>
      </c>
      <c r="Q67" s="68">
        <v>19.0</v>
      </c>
      <c r="R67" s="64">
        <v>73.0</v>
      </c>
      <c r="S67" s="511" t="s">
        <v>368</v>
      </c>
      <c r="T67" s="234" t="s">
        <v>368</v>
      </c>
      <c r="U67" s="117">
        <v>0.0</v>
      </c>
      <c r="V67" s="64">
        <v>40.0</v>
      </c>
      <c r="W67" s="87">
        <f>IFERROR(__xludf.DUMMYFUNCTION("+V67"),40.0)</f>
        <v>40</v>
      </c>
      <c r="X67" s="83">
        <f>IFERROR(__xludf.DUMMYFUNCTION("+W67-R67"),-33.0)</f>
        <v>-33</v>
      </c>
      <c r="Y67" s="65"/>
    </row>
    <row r="68" ht="14.25" customHeight="1">
      <c r="B68" s="69">
        <v>1.7</v>
      </c>
      <c r="C68" s="70" t="s">
        <v>79</v>
      </c>
      <c r="D68" s="143"/>
      <c r="E68" s="143"/>
      <c r="L68" s="61"/>
      <c r="M68" s="62"/>
      <c r="N68" s="83">
        <v>42241.0</v>
      </c>
      <c r="O68" s="119">
        <v>42241.0</v>
      </c>
      <c r="P68" s="83">
        <v>42241.0</v>
      </c>
      <c r="Q68" s="119">
        <v>42241.0</v>
      </c>
      <c r="R68" s="83">
        <v>168963.0</v>
      </c>
      <c r="S68" s="119">
        <v>14786.0</v>
      </c>
      <c r="T68" s="83">
        <v>32868.0</v>
      </c>
      <c r="U68" s="88">
        <v>102516.0</v>
      </c>
      <c r="V68" s="83">
        <v>180020.0</v>
      </c>
      <c r="W68" s="87">
        <f>IFERROR(__xludf.DUMMYFUNCTION("+V68"),180020.0)</f>
        <v>180020</v>
      </c>
      <c r="X68" s="83">
        <f>IFERROR(__xludf.DUMMYFUNCTION("+W68-R68"),11057.0)</f>
        <v>11057</v>
      </c>
      <c r="Y68" s="65"/>
    </row>
    <row r="69" ht="14.25" customHeight="1">
      <c r="B69" s="69"/>
      <c r="C69" s="91" t="s">
        <v>80</v>
      </c>
      <c r="D69" s="144"/>
      <c r="E69" s="144"/>
      <c r="L69" s="61"/>
      <c r="M69" s="62"/>
      <c r="N69" s="92">
        <v>0.08183306055646482</v>
      </c>
      <c r="O69" s="145">
        <v>0.16366612111292964</v>
      </c>
      <c r="P69" s="92">
        <v>0.4451718494271686</v>
      </c>
      <c r="Q69" s="145">
        <v>0.309328968903437</v>
      </c>
      <c r="R69" s="92">
        <v>1.0</v>
      </c>
      <c r="S69" s="145">
        <v>0.10379746835443038</v>
      </c>
      <c r="T69" s="92">
        <v>0.22278481012658227</v>
      </c>
      <c r="U69" s="145">
        <v>0.6601941747572816</v>
      </c>
      <c r="V69" s="92">
        <v>0.6777</v>
      </c>
      <c r="W69" s="146">
        <f>IFERROR(__xludf.DUMMYFUNCTION("+V69"),0.6777)</f>
        <v>0.6777</v>
      </c>
      <c r="X69" s="92">
        <f>IFERROR(__xludf.DUMMYFUNCTION("+W69-R69"),-0.32230000000000003)</f>
        <v>-0.3223</v>
      </c>
      <c r="Y69" s="65"/>
    </row>
    <row r="70" ht="14.25" customHeight="1">
      <c r="B70" s="69">
        <v>1.8</v>
      </c>
      <c r="C70" s="91" t="s">
        <v>81</v>
      </c>
      <c r="D70" s="144"/>
      <c r="E70" s="144"/>
      <c r="L70" s="61"/>
      <c r="M70" s="62"/>
      <c r="N70" s="114">
        <v>0.5</v>
      </c>
      <c r="O70" s="115">
        <v>0.5</v>
      </c>
      <c r="P70" s="114">
        <v>0.5</v>
      </c>
      <c r="Q70" s="115">
        <v>0.5</v>
      </c>
      <c r="R70" s="114">
        <v>0.5</v>
      </c>
      <c r="S70" s="145">
        <v>0.3892171344165436</v>
      </c>
      <c r="T70" s="92">
        <v>0.6809453471196455</v>
      </c>
      <c r="U70" s="145">
        <v>0.7709903121636168</v>
      </c>
      <c r="V70" s="92">
        <v>0.7224</v>
      </c>
      <c r="W70" s="146">
        <f>IFERROR(__xludf.DUMMYFUNCTION("+V70"),0.7224)</f>
        <v>0.7224</v>
      </c>
      <c r="X70" s="92">
        <f>IFERROR(__xludf.DUMMYFUNCTION("+W70-R70"),0.22240000000000004)</f>
        <v>0.2224</v>
      </c>
      <c r="Y70" s="65"/>
    </row>
    <row r="71" ht="14.25" customHeight="1">
      <c r="B71" s="147">
        <v>1.9</v>
      </c>
      <c r="C71" s="91" t="s">
        <v>82</v>
      </c>
      <c r="D71" s="144"/>
      <c r="E71" s="144"/>
      <c r="L71" s="61"/>
      <c r="M71" s="62"/>
      <c r="N71" s="114"/>
      <c r="O71" s="115"/>
      <c r="P71" s="114"/>
      <c r="Q71" s="115" t="s">
        <v>686</v>
      </c>
      <c r="R71" s="114" t="str">
        <f>IFERROR(__xludf.DUMMYFUNCTION("+Q71"),"20-30%")</f>
        <v>20-30%</v>
      </c>
      <c r="S71" s="145">
        <v>0.2447548747255073</v>
      </c>
      <c r="T71" s="92">
        <v>0.3231473397359579</v>
      </c>
      <c r="U71" s="145">
        <v>0.3618118065731631</v>
      </c>
      <c r="V71" s="92">
        <v>0.3421</v>
      </c>
      <c r="W71" s="146">
        <f>IFERROR(__xludf.DUMMYFUNCTION("+V71"),0.3421)</f>
        <v>0.3421</v>
      </c>
      <c r="X71" s="92"/>
      <c r="Y71" s="65"/>
    </row>
    <row r="72" ht="14.25" customHeight="1">
      <c r="B72" s="69"/>
      <c r="C72" s="91" t="s">
        <v>83</v>
      </c>
      <c r="D72" s="144"/>
      <c r="E72" s="144"/>
      <c r="L72" s="61"/>
      <c r="M72" s="62"/>
      <c r="N72" s="114"/>
      <c r="O72" s="115"/>
      <c r="P72" s="114"/>
      <c r="Q72" s="115">
        <v>0.8</v>
      </c>
      <c r="R72" s="114">
        <f>IFERROR(__xludf.DUMMYFUNCTION("+Q72"),0.8)</f>
        <v>0.8</v>
      </c>
      <c r="S72" s="145">
        <v>1.0</v>
      </c>
      <c r="T72" s="92">
        <v>1.0</v>
      </c>
      <c r="U72" s="145">
        <v>1.0</v>
      </c>
      <c r="V72" s="92">
        <v>0.9461</v>
      </c>
      <c r="W72" s="146">
        <f>IFERROR(__xludf.DUMMYFUNCTION("+V72"),0.9461)</f>
        <v>0.9461</v>
      </c>
      <c r="X72" s="92">
        <f>IFERROR(__xludf.DUMMYFUNCTION("+W72-R72"),0.1461)</f>
        <v>0.1461</v>
      </c>
      <c r="Y72" s="65"/>
    </row>
    <row r="73" ht="14.25" customHeight="1">
      <c r="B73" s="69"/>
      <c r="C73" s="70"/>
      <c r="D73" s="144"/>
      <c r="E73" s="144"/>
      <c r="L73" s="61"/>
      <c r="M73" s="62"/>
      <c r="N73" s="114"/>
      <c r="O73" s="115"/>
      <c r="P73" s="114"/>
      <c r="Q73" s="115"/>
      <c r="R73" s="114"/>
      <c r="S73" s="145"/>
      <c r="T73" s="92"/>
      <c r="U73" s="145"/>
      <c r="V73" s="92"/>
      <c r="W73" s="146"/>
      <c r="X73" s="92"/>
      <c r="Y73" s="65"/>
    </row>
    <row r="74" ht="14.25" customHeight="1">
      <c r="B74" s="148"/>
      <c r="C74" s="70"/>
      <c r="D74" s="77"/>
      <c r="E74" s="70"/>
      <c r="L74" s="61"/>
      <c r="M74" s="62"/>
      <c r="N74" s="63"/>
      <c r="O74" s="62"/>
      <c r="P74" s="63"/>
      <c r="Q74" s="62"/>
      <c r="R74" s="149"/>
      <c r="S74" s="68"/>
      <c r="T74" s="64"/>
      <c r="U74" s="117"/>
      <c r="V74" s="64"/>
      <c r="W74" s="89"/>
      <c r="X74" s="64"/>
      <c r="Y74" s="65"/>
    </row>
    <row r="75" ht="14.25" customHeight="1">
      <c r="B75" s="148" t="s">
        <v>84</v>
      </c>
      <c r="C75" s="70"/>
      <c r="D75" s="77"/>
      <c r="E75" s="70"/>
      <c r="L75" s="61"/>
      <c r="M75" s="62"/>
      <c r="N75" s="63"/>
      <c r="O75" s="62"/>
      <c r="P75" s="63"/>
      <c r="Q75" s="62"/>
      <c r="R75" s="149"/>
      <c r="S75" s="68"/>
      <c r="T75" s="64"/>
      <c r="U75" s="117"/>
      <c r="V75" s="64"/>
      <c r="W75" s="89"/>
      <c r="X75" s="64"/>
      <c r="Y75" s="65"/>
    </row>
    <row r="76" ht="14.25" customHeight="1">
      <c r="B76" s="148" t="s">
        <v>85</v>
      </c>
      <c r="C76" s="70"/>
      <c r="D76" s="77"/>
      <c r="E76" s="70"/>
      <c r="L76" s="61"/>
      <c r="M76" s="62"/>
      <c r="N76" s="63"/>
      <c r="O76" s="62"/>
      <c r="P76" s="63"/>
      <c r="Q76" s="62"/>
      <c r="R76" s="149"/>
      <c r="S76" s="68"/>
      <c r="T76" s="64"/>
      <c r="U76" s="117"/>
      <c r="V76" s="64"/>
      <c r="W76" s="89"/>
      <c r="X76" s="64"/>
      <c r="Y76" s="65"/>
    </row>
    <row r="77" ht="14.25" customHeight="1">
      <c r="B77" s="150" t="s">
        <v>86</v>
      </c>
      <c r="C77" s="151"/>
      <c r="D77" s="152"/>
      <c r="E77" s="151"/>
      <c r="F77" s="67"/>
      <c r="G77" s="67"/>
      <c r="L77" s="61"/>
      <c r="M77" s="62"/>
      <c r="N77" s="63"/>
      <c r="O77" s="62"/>
      <c r="P77" s="63"/>
      <c r="Q77" s="62"/>
      <c r="R77" s="149"/>
      <c r="S77" s="68"/>
      <c r="T77" s="64"/>
      <c r="U77" s="68"/>
      <c r="V77" s="64"/>
      <c r="W77" s="68"/>
      <c r="X77" s="64"/>
      <c r="Y77" s="65"/>
    </row>
    <row r="78" ht="14.25" customHeight="1">
      <c r="B78" s="148"/>
      <c r="C78" s="70"/>
      <c r="D78" s="77"/>
      <c r="E78" s="70"/>
      <c r="L78" s="61"/>
      <c r="M78" s="62"/>
      <c r="N78" s="63"/>
      <c r="O78" s="62"/>
      <c r="P78" s="63"/>
      <c r="Q78" s="62"/>
      <c r="R78" s="149"/>
      <c r="S78" s="68"/>
      <c r="T78" s="64"/>
      <c r="U78" s="68"/>
      <c r="V78" s="64"/>
      <c r="W78" s="68"/>
      <c r="X78" s="64"/>
      <c r="Y78" s="65"/>
    </row>
    <row r="79" ht="14.25" customHeight="1">
      <c r="B79" s="148" t="s">
        <v>87</v>
      </c>
      <c r="C79" s="70"/>
      <c r="D79" s="77"/>
      <c r="E79" s="70"/>
      <c r="L79" s="61"/>
      <c r="M79" s="62"/>
      <c r="N79" s="63"/>
      <c r="O79" s="62"/>
      <c r="P79" s="63"/>
      <c r="Q79" s="62"/>
      <c r="R79" s="149"/>
      <c r="S79" s="68"/>
      <c r="T79" s="64"/>
      <c r="U79" s="68"/>
      <c r="V79" s="64"/>
      <c r="W79" s="68"/>
      <c r="X79" s="64"/>
      <c r="Y79" s="65"/>
    </row>
    <row r="80" ht="14.25" customHeight="1">
      <c r="B80" s="69">
        <v>2.1</v>
      </c>
      <c r="C80" s="70" t="s">
        <v>88</v>
      </c>
      <c r="D80" s="144"/>
      <c r="L80" s="61"/>
      <c r="M80" s="62"/>
      <c r="N80" s="63"/>
      <c r="O80" s="62"/>
      <c r="P80" s="63"/>
      <c r="Q80" s="63"/>
      <c r="R80" s="149"/>
      <c r="S80" s="64"/>
      <c r="T80" s="64"/>
      <c r="U80" s="64"/>
      <c r="V80" s="64"/>
      <c r="W80" s="64"/>
      <c r="X80" s="64"/>
      <c r="Y80" s="65"/>
    </row>
    <row r="81" ht="14.25" customHeight="1">
      <c r="B81" s="69"/>
      <c r="C81" s="91" t="s">
        <v>687</v>
      </c>
      <c r="D81" s="144"/>
      <c r="L81" s="61"/>
      <c r="M81" s="62"/>
      <c r="N81" s="63"/>
      <c r="O81" s="62"/>
      <c r="P81" s="63"/>
      <c r="Q81" s="63"/>
      <c r="R81" s="149"/>
      <c r="S81" s="64"/>
      <c r="T81" s="64"/>
      <c r="U81" s="64"/>
      <c r="V81" s="64"/>
      <c r="W81" s="64"/>
      <c r="X81" s="64"/>
      <c r="Y81" s="65"/>
    </row>
    <row r="82" ht="14.25" customHeight="1">
      <c r="B82" s="69"/>
      <c r="C82" s="91" t="s">
        <v>688</v>
      </c>
      <c r="D82" s="144"/>
      <c r="L82" s="61"/>
      <c r="M82" s="62"/>
      <c r="N82" s="114">
        <v>0.1</v>
      </c>
      <c r="O82" s="115">
        <v>0.05</v>
      </c>
      <c r="P82" s="114">
        <v>0.05</v>
      </c>
      <c r="Q82" s="114">
        <v>0.1</v>
      </c>
      <c r="R82" s="169">
        <v>0.3</v>
      </c>
      <c r="S82" s="93">
        <v>0.2414</v>
      </c>
      <c r="T82" s="93">
        <v>0.3667</v>
      </c>
      <c r="U82" s="92">
        <v>0.21428571428571427</v>
      </c>
      <c r="V82" s="92">
        <v>0.2051</v>
      </c>
      <c r="W82" s="93">
        <v>0.5303</v>
      </c>
      <c r="X82" s="92">
        <f>IFERROR(__xludf.DUMMYFUNCTION("+W82-R82"),0.2303)</f>
        <v>0.2303</v>
      </c>
      <c r="Y82" s="65"/>
    </row>
    <row r="83" ht="14.25" customHeight="1">
      <c r="B83" s="69"/>
      <c r="C83" s="91" t="s">
        <v>689</v>
      </c>
      <c r="D83" s="144"/>
      <c r="L83" s="61"/>
      <c r="M83" s="62"/>
      <c r="N83" s="114">
        <v>0.1</v>
      </c>
      <c r="O83" s="115">
        <v>0.1</v>
      </c>
      <c r="P83" s="114">
        <v>0.1</v>
      </c>
      <c r="Q83" s="114">
        <v>0.05</v>
      </c>
      <c r="R83" s="169">
        <v>0.35</v>
      </c>
      <c r="S83" s="93">
        <v>0.2584</v>
      </c>
      <c r="T83" s="93">
        <v>0.1794</v>
      </c>
      <c r="U83" s="92">
        <v>0.18</v>
      </c>
      <c r="V83" s="92">
        <v>0.2233</v>
      </c>
      <c r="W83" s="93">
        <v>0.4253</v>
      </c>
      <c r="X83" s="92">
        <f>IFERROR(__xludf.DUMMYFUNCTION("+W83-R83"),0.07530000000000003)</f>
        <v>0.0753</v>
      </c>
      <c r="Y83" s="65"/>
    </row>
    <row r="84" ht="14.25" customHeight="1">
      <c r="B84" s="69"/>
      <c r="C84" s="91" t="s">
        <v>690</v>
      </c>
      <c r="D84" s="154"/>
      <c r="L84" s="61"/>
      <c r="M84" s="62"/>
      <c r="N84" s="63"/>
      <c r="O84" s="62"/>
      <c r="P84" s="63"/>
      <c r="Q84" s="63"/>
      <c r="R84" s="169">
        <v>0.3</v>
      </c>
      <c r="S84" s="93">
        <v>0.2973</v>
      </c>
      <c r="T84" s="93">
        <v>0.225</v>
      </c>
      <c r="U84" s="92">
        <v>0.2391304347826087</v>
      </c>
      <c r="V84" s="92">
        <v>0.1702</v>
      </c>
      <c r="W84" s="93">
        <v>0.4419</v>
      </c>
      <c r="X84" s="92">
        <f>IFERROR(__xludf.DUMMYFUNCTION("+W84-R84"),0.14190000000000003)</f>
        <v>0.1419</v>
      </c>
      <c r="Y84" s="65"/>
    </row>
    <row r="85" ht="14.25" customHeight="1">
      <c r="B85" s="69"/>
      <c r="C85" s="70" t="s">
        <v>691</v>
      </c>
      <c r="D85" s="154"/>
      <c r="L85" s="61"/>
      <c r="M85" s="62"/>
      <c r="N85" s="63"/>
      <c r="O85" s="62"/>
      <c r="P85" s="63"/>
      <c r="Q85" s="63"/>
      <c r="R85" s="169">
        <v>0.3</v>
      </c>
      <c r="S85" s="93">
        <v>0.2162</v>
      </c>
      <c r="T85" s="93">
        <v>0.24</v>
      </c>
      <c r="U85" s="92">
        <v>0.15789473684210525</v>
      </c>
      <c r="V85" s="92">
        <v>0.2979</v>
      </c>
      <c r="W85" s="93">
        <v>0.5128</v>
      </c>
      <c r="X85" s="92">
        <f>IFERROR(__xludf.DUMMYFUNCTION("+W85-R85"),0.21280000000000004)</f>
        <v>0.2128</v>
      </c>
      <c r="Y85" s="65"/>
    </row>
    <row r="86" ht="14.25" customHeight="1">
      <c r="B86" s="148" t="s">
        <v>49</v>
      </c>
      <c r="C86" s="70"/>
      <c r="D86" s="154"/>
      <c r="L86" s="61"/>
      <c r="M86" s="62"/>
      <c r="N86" s="63"/>
      <c r="O86" s="62"/>
      <c r="P86" s="63"/>
      <c r="Q86" s="63"/>
      <c r="R86" s="149"/>
      <c r="S86" s="64"/>
      <c r="T86" s="64"/>
      <c r="U86" s="64"/>
      <c r="V86" s="64"/>
      <c r="W86" s="64"/>
      <c r="X86" s="64"/>
      <c r="Y86" s="65"/>
    </row>
    <row r="87" ht="14.25" customHeight="1">
      <c r="B87" s="69">
        <v>2.1</v>
      </c>
      <c r="C87" s="91" t="s">
        <v>89</v>
      </c>
      <c r="D87" s="144"/>
      <c r="L87" s="61"/>
      <c r="M87" s="62"/>
      <c r="N87" s="63"/>
      <c r="O87" s="62"/>
      <c r="P87" s="63"/>
      <c r="Q87" s="63"/>
      <c r="R87" s="149"/>
      <c r="S87" s="64"/>
      <c r="T87" s="64"/>
      <c r="U87" s="64"/>
      <c r="V87" s="64"/>
      <c r="W87" s="64"/>
      <c r="X87" s="64"/>
      <c r="Y87" s="65"/>
    </row>
    <row r="88" ht="14.25" customHeight="1">
      <c r="B88" s="69"/>
      <c r="C88" s="91" t="s">
        <v>90</v>
      </c>
      <c r="D88" s="154"/>
      <c r="L88" s="61"/>
      <c r="M88" s="62"/>
      <c r="N88" s="64"/>
      <c r="O88" s="68"/>
      <c r="P88" s="64"/>
      <c r="Q88" s="64"/>
      <c r="R88" s="101">
        <v>60.0</v>
      </c>
      <c r="S88" s="64">
        <v>44.0</v>
      </c>
      <c r="T88" s="64">
        <v>42.0</v>
      </c>
      <c r="U88" s="64">
        <v>42.0</v>
      </c>
      <c r="V88" s="64">
        <v>39.0</v>
      </c>
      <c r="W88" s="64">
        <v>66.0</v>
      </c>
      <c r="X88" s="64">
        <f>IFERROR(__xludf.DUMMYFUNCTION("+W88-R88"),6.0)</f>
        <v>6</v>
      </c>
      <c r="Y88" s="65"/>
    </row>
    <row r="89" ht="14.25" customHeight="1">
      <c r="B89" s="69"/>
      <c r="C89" s="70" t="s">
        <v>91</v>
      </c>
      <c r="D89" s="154"/>
      <c r="L89" s="61"/>
      <c r="M89" s="62"/>
      <c r="N89" s="64"/>
      <c r="O89" s="68"/>
      <c r="P89" s="64"/>
      <c r="Q89" s="64"/>
      <c r="R89" s="101">
        <v>110.0</v>
      </c>
      <c r="S89" s="64">
        <v>92.0</v>
      </c>
      <c r="T89" s="64">
        <v>81.0</v>
      </c>
      <c r="U89" s="64">
        <v>100.0</v>
      </c>
      <c r="V89" s="64">
        <v>103.0</v>
      </c>
      <c r="W89" s="64">
        <v>174.0</v>
      </c>
      <c r="X89" s="64">
        <f>IFERROR(__xludf.DUMMYFUNCTION("+W89-R89"),64.0)</f>
        <v>64</v>
      </c>
      <c r="Y89" s="65"/>
    </row>
    <row r="90" ht="14.25" customHeight="1">
      <c r="B90" s="69"/>
      <c r="C90" s="70" t="s">
        <v>92</v>
      </c>
      <c r="D90" s="154"/>
      <c r="L90" s="61"/>
      <c r="M90" s="62"/>
      <c r="N90" s="64"/>
      <c r="O90" s="68"/>
      <c r="P90" s="64"/>
      <c r="Q90" s="64"/>
      <c r="R90" s="101">
        <v>85.0</v>
      </c>
      <c r="S90" s="64">
        <v>37.0</v>
      </c>
      <c r="T90" s="64">
        <v>40.0</v>
      </c>
      <c r="U90" s="64">
        <v>46.0</v>
      </c>
      <c r="V90" s="64">
        <v>47.0</v>
      </c>
      <c r="W90" s="64">
        <v>86.0</v>
      </c>
      <c r="X90" s="64">
        <f>IFERROR(__xludf.DUMMYFUNCTION("+W90-R90"),1.0)</f>
        <v>1</v>
      </c>
      <c r="Y90" s="65"/>
    </row>
    <row r="91" ht="14.25" customHeight="1">
      <c r="B91" s="69"/>
      <c r="C91" s="91" t="s">
        <v>93</v>
      </c>
      <c r="D91" s="154"/>
      <c r="L91" s="61"/>
      <c r="M91" s="62"/>
      <c r="N91" s="64"/>
      <c r="O91" s="68"/>
      <c r="P91" s="64"/>
      <c r="Q91" s="68"/>
      <c r="R91" s="101">
        <v>60.0</v>
      </c>
      <c r="S91" s="68">
        <v>37.0</v>
      </c>
      <c r="T91" s="64">
        <v>50.0</v>
      </c>
      <c r="U91" s="68">
        <v>38.0</v>
      </c>
      <c r="V91" s="64">
        <v>47.0</v>
      </c>
      <c r="W91" s="64">
        <v>78.0</v>
      </c>
      <c r="X91" s="64">
        <f>IFERROR(__xludf.DUMMYFUNCTION("+W91-R91"),18.0)</f>
        <v>18</v>
      </c>
      <c r="Y91" s="65"/>
    </row>
    <row r="92" ht="14.25" customHeight="1">
      <c r="B92" s="69">
        <v>2.3</v>
      </c>
      <c r="C92" s="91" t="s">
        <v>94</v>
      </c>
      <c r="D92" s="154"/>
      <c r="L92" s="61"/>
      <c r="M92" s="62"/>
      <c r="N92" s="63"/>
      <c r="O92" s="62"/>
      <c r="P92" s="63"/>
      <c r="Q92" s="62"/>
      <c r="R92" s="149"/>
      <c r="S92" s="68"/>
      <c r="T92" s="64"/>
      <c r="U92" s="68"/>
      <c r="V92" s="64"/>
      <c r="W92" s="68"/>
      <c r="X92" s="64"/>
      <c r="Y92" s="65"/>
    </row>
    <row r="93" ht="93.75" customHeight="1">
      <c r="B93" s="69"/>
      <c r="C93" s="70" t="s">
        <v>90</v>
      </c>
      <c r="D93" s="144"/>
      <c r="L93" s="61"/>
      <c r="M93" s="62"/>
      <c r="N93" s="63"/>
      <c r="O93" s="62"/>
      <c r="P93" s="63"/>
      <c r="Q93" s="62"/>
      <c r="R93" s="101" t="s">
        <v>692</v>
      </c>
      <c r="S93" s="161" t="s">
        <v>693</v>
      </c>
      <c r="T93" s="162" t="s">
        <v>694</v>
      </c>
      <c r="U93" s="512" t="s">
        <v>695</v>
      </c>
      <c r="V93" s="512" t="s">
        <v>696</v>
      </c>
      <c r="W93" s="479" t="s">
        <v>697</v>
      </c>
      <c r="X93" s="64"/>
      <c r="Y93" s="65"/>
    </row>
    <row r="94" ht="99.0" customHeight="1">
      <c r="B94" s="69"/>
      <c r="C94" s="70" t="s">
        <v>91</v>
      </c>
      <c r="D94" s="144"/>
      <c r="L94" s="61"/>
      <c r="M94" s="62"/>
      <c r="N94" s="63"/>
      <c r="O94" s="62"/>
      <c r="P94" s="63"/>
      <c r="Q94" s="62"/>
      <c r="R94" s="101" t="s">
        <v>698</v>
      </c>
      <c r="S94" s="220" t="s">
        <v>699</v>
      </c>
      <c r="T94" s="162" t="s">
        <v>694</v>
      </c>
      <c r="U94" s="512" t="s">
        <v>700</v>
      </c>
      <c r="V94" s="512" t="s">
        <v>700</v>
      </c>
      <c r="W94" s="479" t="s">
        <v>701</v>
      </c>
      <c r="X94" s="64"/>
      <c r="Y94" s="65"/>
    </row>
    <row r="95" ht="14.25" customHeight="1">
      <c r="B95" s="69"/>
      <c r="C95" s="70" t="s">
        <v>92</v>
      </c>
      <c r="D95" s="154"/>
      <c r="L95" s="61"/>
      <c r="M95" s="62"/>
      <c r="N95" s="63"/>
      <c r="O95" s="62"/>
      <c r="P95" s="63"/>
      <c r="Q95" s="62"/>
      <c r="R95" s="101" t="s">
        <v>702</v>
      </c>
      <c r="S95" s="161" t="s">
        <v>703</v>
      </c>
      <c r="T95" s="162" t="s">
        <v>704</v>
      </c>
      <c r="U95" s="512" t="s">
        <v>705</v>
      </c>
      <c r="V95" s="512" t="s">
        <v>706</v>
      </c>
      <c r="W95" s="479" t="s">
        <v>707</v>
      </c>
      <c r="X95" s="64"/>
      <c r="Y95" s="65"/>
    </row>
    <row r="96" ht="103.5" customHeight="1">
      <c r="B96" s="69"/>
      <c r="C96" s="70" t="s">
        <v>93</v>
      </c>
      <c r="D96" s="154"/>
      <c r="L96" s="61"/>
      <c r="M96" s="62"/>
      <c r="N96" s="63"/>
      <c r="O96" s="62"/>
      <c r="P96" s="63"/>
      <c r="Q96" s="62"/>
      <c r="R96" s="101" t="s">
        <v>702</v>
      </c>
      <c r="S96" s="161" t="s">
        <v>708</v>
      </c>
      <c r="T96" s="162" t="s">
        <v>709</v>
      </c>
      <c r="U96" s="512" t="s">
        <v>710</v>
      </c>
      <c r="V96" s="512" t="s">
        <v>711</v>
      </c>
      <c r="W96" s="479" t="s">
        <v>712</v>
      </c>
      <c r="X96" s="64"/>
      <c r="Y96" s="65"/>
    </row>
    <row r="97" ht="14.25" customHeight="1">
      <c r="B97" s="69">
        <v>2.4</v>
      </c>
      <c r="C97" s="91" t="s">
        <v>105</v>
      </c>
      <c r="D97" s="144"/>
      <c r="L97" s="61"/>
      <c r="M97" s="62"/>
      <c r="N97" s="114">
        <v>1.0</v>
      </c>
      <c r="O97" s="115">
        <v>1.0</v>
      </c>
      <c r="P97" s="114">
        <v>1.0</v>
      </c>
      <c r="Q97" s="115">
        <v>1.0</v>
      </c>
      <c r="R97" s="163">
        <v>1.0</v>
      </c>
      <c r="S97" s="115">
        <v>1.0</v>
      </c>
      <c r="T97" s="114">
        <v>1.0</v>
      </c>
      <c r="U97" s="115">
        <v>1.0</v>
      </c>
      <c r="V97" s="114">
        <v>1.0</v>
      </c>
      <c r="W97" s="115">
        <f>IFERROR(__xludf.DUMMYFUNCTION("+U97"),1.0)</f>
        <v>1</v>
      </c>
      <c r="X97" s="64"/>
      <c r="Y97" s="65"/>
    </row>
    <row r="98" ht="14.25" customHeight="1">
      <c r="B98" s="69">
        <v>2.5</v>
      </c>
      <c r="C98" s="70" t="s">
        <v>106</v>
      </c>
      <c r="D98" s="154"/>
      <c r="L98" s="61"/>
      <c r="M98" s="62"/>
      <c r="N98" s="164" t="s">
        <v>107</v>
      </c>
      <c r="O98" s="164" t="s">
        <v>107</v>
      </c>
      <c r="P98" s="164" t="s">
        <v>107</v>
      </c>
      <c r="Q98" s="164" t="s">
        <v>107</v>
      </c>
      <c r="R98" s="164" t="s">
        <v>107</v>
      </c>
      <c r="S98" s="513" t="s">
        <v>107</v>
      </c>
      <c r="T98" s="164" t="s">
        <v>107</v>
      </c>
      <c r="U98" s="164" t="s">
        <v>107</v>
      </c>
      <c r="V98" s="164" t="s">
        <v>107</v>
      </c>
      <c r="W98" s="166" t="s">
        <v>107</v>
      </c>
      <c r="X98" s="114">
        <v>0.0</v>
      </c>
      <c r="Y98" s="65"/>
    </row>
    <row r="99" ht="14.25" customHeight="1">
      <c r="B99" s="150" t="s">
        <v>108</v>
      </c>
      <c r="C99" s="151"/>
      <c r="D99" s="167"/>
      <c r="E99" s="67"/>
      <c r="L99" s="61"/>
      <c r="M99" s="62"/>
      <c r="N99" s="63"/>
      <c r="O99" s="62"/>
      <c r="P99" s="63"/>
      <c r="Q99" s="62"/>
      <c r="R99" s="149"/>
      <c r="S99" s="68"/>
      <c r="T99" s="64"/>
      <c r="U99" s="68"/>
      <c r="V99" s="64"/>
      <c r="W99" s="68"/>
      <c r="X99" s="64"/>
      <c r="Y99" s="65"/>
    </row>
    <row r="100" ht="14.25" customHeight="1">
      <c r="B100" s="148" t="s">
        <v>28</v>
      </c>
      <c r="C100" s="70"/>
      <c r="D100" s="154"/>
      <c r="L100" s="61"/>
      <c r="M100" s="62"/>
      <c r="N100" s="63"/>
      <c r="O100" s="62"/>
      <c r="P100" s="63"/>
      <c r="Q100" s="62"/>
      <c r="R100" s="149"/>
      <c r="S100" s="68"/>
      <c r="T100" s="64"/>
      <c r="U100" s="68"/>
      <c r="V100" s="64"/>
      <c r="W100" s="68"/>
      <c r="X100" s="64"/>
      <c r="Y100" s="65"/>
    </row>
    <row r="101" ht="14.25" customHeight="1">
      <c r="B101" s="69">
        <v>2.2</v>
      </c>
      <c r="C101" s="70" t="s">
        <v>109</v>
      </c>
      <c r="D101" s="154"/>
      <c r="L101" s="61"/>
      <c r="M101" s="62"/>
      <c r="N101" s="63"/>
      <c r="O101" s="63"/>
      <c r="P101" s="63"/>
      <c r="Q101" s="63"/>
      <c r="R101" s="149"/>
      <c r="S101" s="64"/>
      <c r="T101" s="64"/>
      <c r="U101" s="64"/>
      <c r="V101" s="64"/>
      <c r="W101" s="64"/>
      <c r="X101" s="64"/>
      <c r="Y101" s="63"/>
    </row>
    <row r="102" ht="15.0" customHeight="1">
      <c r="B102" s="69"/>
      <c r="C102" s="91" t="s">
        <v>111</v>
      </c>
      <c r="D102" s="168"/>
      <c r="E102" s="168"/>
      <c r="L102" s="61"/>
      <c r="M102" s="62"/>
      <c r="N102" s="101"/>
      <c r="O102" s="169"/>
      <c r="P102" s="169">
        <v>0.1</v>
      </c>
      <c r="Q102" s="169">
        <v>0.1</v>
      </c>
      <c r="R102" s="169">
        <v>0.1</v>
      </c>
      <c r="S102" s="64"/>
      <c r="T102" s="170">
        <v>0.929</v>
      </c>
      <c r="U102" s="64"/>
      <c r="V102" s="64"/>
      <c r="W102" s="171">
        <f>IFERROR(__xludf.DUMMYFUNCTION("+T102"),0.929)</f>
        <v>0.929</v>
      </c>
      <c r="X102" s="92">
        <f>IFERROR(__xludf.DUMMYFUNCTION("+W102-R102"),0.8290000000000001)</f>
        <v>0.829</v>
      </c>
      <c r="Y102" s="76" t="s">
        <v>713</v>
      </c>
    </row>
    <row r="103" ht="15.0" customHeight="1">
      <c r="B103" s="69"/>
      <c r="C103" s="91" t="s">
        <v>112</v>
      </c>
      <c r="D103" s="70"/>
      <c r="E103" s="70"/>
      <c r="F103" s="70"/>
      <c r="L103" s="61"/>
      <c r="M103" s="62"/>
      <c r="N103" s="101"/>
      <c r="O103" s="169"/>
      <c r="P103" s="169">
        <v>0.8</v>
      </c>
      <c r="Q103" s="169">
        <v>0.8</v>
      </c>
      <c r="R103" s="169">
        <v>0.8</v>
      </c>
      <c r="S103" s="64"/>
      <c r="T103" s="170">
        <v>0.8509</v>
      </c>
      <c r="U103" s="64"/>
      <c r="V103" s="64"/>
      <c r="W103" s="171">
        <f>IFERROR(__xludf.DUMMYFUNCTION("+T103"),0.8509)</f>
        <v>0.8509</v>
      </c>
      <c r="X103" s="92">
        <f>IFERROR(__xludf.DUMMYFUNCTION("+W103-R103"),0.050899999999999945)</f>
        <v>0.0509</v>
      </c>
      <c r="Y103" s="40"/>
    </row>
    <row r="104" ht="15.0" customHeight="1">
      <c r="B104" s="69">
        <v>2.3</v>
      </c>
      <c r="C104" s="91" t="s">
        <v>113</v>
      </c>
      <c r="D104" s="70"/>
      <c r="E104" s="70"/>
      <c r="F104" s="70"/>
      <c r="L104" s="61"/>
      <c r="M104" s="62"/>
      <c r="N104" s="117" t="s">
        <v>114</v>
      </c>
      <c r="O104" s="172"/>
      <c r="P104" s="172"/>
      <c r="Q104" s="173"/>
      <c r="R104" s="169">
        <v>0.5</v>
      </c>
      <c r="S104" s="64"/>
      <c r="T104" s="514">
        <v>1.0</v>
      </c>
      <c r="U104" s="64"/>
      <c r="V104" s="64"/>
      <c r="W104" s="171">
        <f>IFERROR(__xludf.DUMMYFUNCTION("+T104"),1.0)</f>
        <v>1</v>
      </c>
      <c r="X104" s="92">
        <f>IFERROR(__xludf.DUMMYFUNCTION("+W104-R104"),0.5)</f>
        <v>0.5</v>
      </c>
      <c r="Y104" s="90"/>
    </row>
    <row r="105" ht="15.0" customHeight="1">
      <c r="B105" s="148" t="s">
        <v>115</v>
      </c>
      <c r="C105" s="70"/>
      <c r="D105" s="70"/>
      <c r="E105" s="70"/>
      <c r="F105" s="70"/>
      <c r="L105" s="61"/>
      <c r="M105" s="62"/>
      <c r="N105" s="63"/>
      <c r="O105" s="63"/>
      <c r="P105" s="63"/>
      <c r="Q105" s="63"/>
      <c r="R105" s="63"/>
      <c r="S105" s="64"/>
      <c r="T105" s="64"/>
      <c r="U105" s="64"/>
      <c r="V105" s="64"/>
      <c r="W105" s="64"/>
      <c r="X105" s="64"/>
      <c r="Y105" s="63"/>
    </row>
    <row r="106" ht="15.0" customHeight="1">
      <c r="B106" s="174">
        <v>2.6</v>
      </c>
      <c r="C106" s="175" t="s">
        <v>116</v>
      </c>
      <c r="D106" s="70"/>
      <c r="E106" s="70"/>
      <c r="F106" s="70"/>
      <c r="L106" s="61"/>
      <c r="M106" s="62"/>
      <c r="N106" s="176"/>
      <c r="O106" s="98"/>
      <c r="P106" s="98"/>
      <c r="Q106" s="98"/>
      <c r="R106" s="98"/>
      <c r="S106" s="98"/>
      <c r="T106" s="98"/>
      <c r="U106" s="98"/>
      <c r="V106" s="98"/>
      <c r="W106" s="98"/>
      <c r="X106" s="98"/>
      <c r="Y106" s="177"/>
    </row>
    <row r="107" ht="63.75" customHeight="1">
      <c r="A107" s="105"/>
      <c r="B107" s="96"/>
      <c r="C107" s="178" t="s">
        <v>714</v>
      </c>
      <c r="D107" s="97"/>
      <c r="E107" s="97"/>
      <c r="F107" s="97"/>
      <c r="G107" s="105"/>
      <c r="H107" s="105"/>
      <c r="I107" s="105"/>
      <c r="J107" s="105"/>
      <c r="K107" s="105"/>
      <c r="L107" s="107"/>
      <c r="M107" s="108"/>
      <c r="N107" s="176">
        <v>141935.0</v>
      </c>
      <c r="O107" s="98">
        <v>141935.0</v>
      </c>
      <c r="P107" s="98">
        <v>141935.0</v>
      </c>
      <c r="Q107" s="98">
        <v>141935.0</v>
      </c>
      <c r="R107" s="98">
        <v>141935.0</v>
      </c>
      <c r="S107" s="98">
        <v>156174.0</v>
      </c>
      <c r="T107" s="98">
        <v>156286.0</v>
      </c>
      <c r="U107" s="98"/>
      <c r="V107" s="98"/>
      <c r="W107" s="98">
        <f>IFERROR(__xludf.DUMMYFUNCTION("+T107"),156286.0)</f>
        <v>156286</v>
      </c>
      <c r="X107" s="98">
        <f>IFERROR(__xludf.DUMMYFUNCTION("+W107-R107"),14351.0)</f>
        <v>14351</v>
      </c>
      <c r="Y107" s="76" t="s">
        <v>715</v>
      </c>
      <c r="Z107" s="105"/>
      <c r="AA107" s="105"/>
      <c r="AB107" s="105"/>
      <c r="AC107" s="105"/>
      <c r="AD107" s="105"/>
      <c r="AE107" s="105"/>
    </row>
    <row r="108" ht="51.0" customHeight="1">
      <c r="A108" s="105"/>
      <c r="B108" s="96"/>
      <c r="C108" s="178" t="s">
        <v>117</v>
      </c>
      <c r="D108" s="97"/>
      <c r="E108" s="97"/>
      <c r="F108" s="97"/>
      <c r="G108" s="105"/>
      <c r="H108" s="105"/>
      <c r="I108" s="105"/>
      <c r="J108" s="105"/>
      <c r="K108" s="105"/>
      <c r="L108" s="107"/>
      <c r="M108" s="108"/>
      <c r="N108" s="98">
        <v>153513.0</v>
      </c>
      <c r="O108" s="98">
        <v>153513.0</v>
      </c>
      <c r="P108" s="98">
        <v>153513.0</v>
      </c>
      <c r="Q108" s="98">
        <v>153513.0</v>
      </c>
      <c r="R108" s="98">
        <v>153513.0</v>
      </c>
      <c r="S108" s="139"/>
      <c r="T108" s="139"/>
      <c r="U108" s="98">
        <v>136982.0</v>
      </c>
      <c r="V108" s="98">
        <v>156736.0</v>
      </c>
      <c r="W108" s="98">
        <f>IFERROR(__xludf.DUMMYFUNCTION("+V108"),156736.0)</f>
        <v>156736</v>
      </c>
      <c r="X108" s="98">
        <f>IFERROR(__xludf.DUMMYFUNCTION("+W108-R108"),3223.0)</f>
        <v>3223</v>
      </c>
      <c r="Y108" s="90"/>
      <c r="Z108" s="105"/>
      <c r="AA108" s="105"/>
      <c r="AB108" s="105"/>
      <c r="AC108" s="105"/>
      <c r="AD108" s="105"/>
      <c r="AE108" s="105"/>
    </row>
    <row r="109" ht="15.0" customHeight="1">
      <c r="B109" s="150" t="s">
        <v>119</v>
      </c>
      <c r="C109" s="179"/>
      <c r="D109" s="151"/>
      <c r="E109" s="151"/>
      <c r="F109" s="151"/>
      <c r="G109" s="67"/>
      <c r="L109" s="61"/>
      <c r="M109" s="62"/>
      <c r="N109" s="63"/>
      <c r="O109" s="63"/>
      <c r="P109" s="63"/>
      <c r="Q109" s="63"/>
      <c r="R109" s="63"/>
      <c r="S109" s="64"/>
      <c r="T109" s="64"/>
      <c r="U109" s="64"/>
      <c r="V109" s="64"/>
      <c r="W109" s="64"/>
      <c r="X109" s="64"/>
      <c r="Y109" s="63"/>
    </row>
    <row r="110" ht="15.0" customHeight="1">
      <c r="B110" s="148" t="s">
        <v>87</v>
      </c>
      <c r="C110" s="144"/>
      <c r="D110" s="70"/>
      <c r="E110" s="70"/>
      <c r="F110" s="70"/>
      <c r="L110" s="61"/>
      <c r="M110" s="62"/>
      <c r="N110" s="63"/>
      <c r="O110" s="63"/>
      <c r="P110" s="63"/>
      <c r="Q110" s="63"/>
      <c r="R110" s="63"/>
      <c r="S110" s="64"/>
      <c r="T110" s="64"/>
      <c r="U110" s="64"/>
      <c r="V110" s="64"/>
      <c r="W110" s="64"/>
      <c r="X110" s="64"/>
      <c r="Y110" s="63"/>
    </row>
    <row r="111" ht="14.25" customHeight="1">
      <c r="B111" s="148">
        <v>2.4</v>
      </c>
      <c r="C111" s="91" t="s">
        <v>120</v>
      </c>
      <c r="D111" s="70"/>
      <c r="E111" s="70"/>
      <c r="F111" s="70"/>
      <c r="L111" s="61"/>
      <c r="M111" s="62"/>
      <c r="N111" s="180">
        <v>0.9</v>
      </c>
      <c r="O111" s="180">
        <v>0.9</v>
      </c>
      <c r="P111" s="180">
        <v>0.9</v>
      </c>
      <c r="Q111" s="180">
        <v>0.9</v>
      </c>
      <c r="R111" s="180">
        <v>0.9</v>
      </c>
      <c r="S111" s="114"/>
      <c r="T111" s="114">
        <v>1.0</v>
      </c>
      <c r="U111" s="64"/>
      <c r="V111" s="64"/>
      <c r="W111" s="114">
        <f>IFERROR(__xludf.DUMMYFUNCTION("+T111"),1.0)</f>
        <v>1</v>
      </c>
      <c r="X111" s="64"/>
      <c r="Y111" s="139" t="s">
        <v>716</v>
      </c>
    </row>
    <row r="112" ht="14.25" customHeight="1">
      <c r="B112" s="148" t="s">
        <v>49</v>
      </c>
      <c r="C112" s="70"/>
      <c r="D112" s="70"/>
      <c r="E112" s="77"/>
      <c r="F112" s="70"/>
      <c r="L112" s="61"/>
      <c r="M112" s="62"/>
      <c r="N112" s="63"/>
      <c r="O112" s="63"/>
      <c r="P112" s="63"/>
      <c r="Q112" s="63"/>
      <c r="R112" s="63"/>
      <c r="S112" s="64"/>
      <c r="T112" s="64"/>
      <c r="U112" s="64"/>
      <c r="V112" s="64"/>
      <c r="W112" s="64"/>
      <c r="X112" s="64"/>
      <c r="Y112" s="78"/>
    </row>
    <row r="113" ht="128.25" customHeight="1">
      <c r="A113" s="105"/>
      <c r="B113" s="181">
        <v>2.8</v>
      </c>
      <c r="C113" s="97" t="s">
        <v>122</v>
      </c>
      <c r="D113" s="97"/>
      <c r="E113" s="126"/>
      <c r="F113" s="97"/>
      <c r="G113" s="105"/>
      <c r="H113" s="105"/>
      <c r="I113" s="105"/>
      <c r="J113" s="105"/>
      <c r="K113" s="105"/>
      <c r="L113" s="107"/>
      <c r="M113" s="108"/>
      <c r="N113" s="98">
        <v>205453.0</v>
      </c>
      <c r="O113" s="98">
        <v>205453.0</v>
      </c>
      <c r="P113" s="98">
        <v>205453.0</v>
      </c>
      <c r="Q113" s="98">
        <v>205453.0</v>
      </c>
      <c r="R113" s="98">
        <v>205453.0</v>
      </c>
      <c r="S113" s="98"/>
      <c r="T113" s="98">
        <v>9269.0</v>
      </c>
      <c r="U113" s="98">
        <v>160656.0</v>
      </c>
      <c r="V113" s="98">
        <v>114800.0</v>
      </c>
      <c r="W113" s="98">
        <f>IFERROR(__xludf.DUMMYFUNCTION("+V113"),114800.0)</f>
        <v>114800</v>
      </c>
      <c r="X113" s="98">
        <f>IFERROR(__xludf.DUMMYFUNCTION("+W113-R113"),-90653.0)</f>
        <v>-90653</v>
      </c>
      <c r="Y113" s="101" t="s">
        <v>717</v>
      </c>
      <c r="Z113" s="105"/>
      <c r="AA113" s="105"/>
      <c r="AB113" s="105"/>
      <c r="AC113" s="105"/>
      <c r="AD113" s="105"/>
      <c r="AE113" s="105"/>
    </row>
    <row r="114" ht="14.25" customHeight="1">
      <c r="B114" s="148">
        <v>2.1</v>
      </c>
      <c r="C114" s="70" t="s">
        <v>124</v>
      </c>
      <c r="D114" s="70"/>
      <c r="E114" s="77"/>
      <c r="L114" s="61"/>
      <c r="M114" s="62"/>
      <c r="N114" s="63"/>
      <c r="O114" s="62"/>
      <c r="P114" s="63"/>
      <c r="Q114" s="62"/>
      <c r="R114" s="64">
        <v>25.0</v>
      </c>
      <c r="S114" s="68">
        <v>3.0</v>
      </c>
      <c r="T114" s="64">
        <v>15.0</v>
      </c>
      <c r="U114" s="68">
        <v>17.0</v>
      </c>
      <c r="V114" s="64">
        <v>25.0</v>
      </c>
      <c r="W114" s="68">
        <f>IFERROR(__xludf.DUMMYFUNCTION("+V114"),25.0)</f>
        <v>25</v>
      </c>
      <c r="X114" s="83">
        <f>IFERROR(__xludf.DUMMYFUNCTION("+W114-R114"),0.0)</f>
        <v>0</v>
      </c>
      <c r="Y114" s="99"/>
    </row>
    <row r="115" ht="14.25" customHeight="1">
      <c r="B115" s="150" t="s">
        <v>125</v>
      </c>
      <c r="C115" s="151"/>
      <c r="D115" s="151"/>
      <c r="E115" s="151"/>
      <c r="F115" s="67"/>
      <c r="G115" s="67"/>
      <c r="H115" s="67"/>
      <c r="I115" s="67"/>
      <c r="J115" s="67"/>
      <c r="K115" s="67"/>
      <c r="L115" s="182"/>
      <c r="M115" s="62"/>
      <c r="N115" s="63"/>
      <c r="O115" s="62"/>
      <c r="P115" s="63"/>
      <c r="Q115" s="62"/>
      <c r="R115" s="63"/>
      <c r="S115" s="68"/>
      <c r="T115" s="64"/>
      <c r="U115" s="68"/>
      <c r="V115" s="64"/>
      <c r="W115" s="68"/>
      <c r="X115" s="64"/>
      <c r="Y115" s="65"/>
    </row>
    <row r="116" ht="14.25" customHeight="1">
      <c r="B116" s="148" t="s">
        <v>87</v>
      </c>
      <c r="C116" s="70"/>
      <c r="D116" s="144"/>
      <c r="E116" s="183"/>
      <c r="F116" s="184"/>
      <c r="G116" s="184"/>
      <c r="H116" s="184"/>
      <c r="I116" s="184"/>
      <c r="J116" s="184"/>
      <c r="L116" s="61"/>
      <c r="M116" s="62"/>
      <c r="N116" s="64"/>
      <c r="O116" s="68"/>
      <c r="P116" s="64"/>
      <c r="Q116" s="68"/>
      <c r="R116" s="64"/>
      <c r="S116" s="68"/>
      <c r="T116" s="64"/>
      <c r="U116" s="68"/>
      <c r="V116" s="64"/>
      <c r="W116" s="68"/>
      <c r="X116" s="73"/>
      <c r="Y116" s="65"/>
    </row>
    <row r="117" ht="37.5" customHeight="1">
      <c r="A117" s="105"/>
      <c r="B117" s="96">
        <v>2.5</v>
      </c>
      <c r="C117" s="185" t="s">
        <v>126</v>
      </c>
      <c r="D117" s="186"/>
      <c r="E117" s="186"/>
      <c r="F117" s="105"/>
      <c r="G117" s="105"/>
      <c r="H117" s="105"/>
      <c r="I117" s="105"/>
      <c r="J117" s="105"/>
      <c r="K117" s="105"/>
      <c r="L117" s="107"/>
      <c r="M117" s="108"/>
      <c r="N117" s="78"/>
      <c r="O117" s="108"/>
      <c r="P117" s="78"/>
      <c r="Q117" s="108"/>
      <c r="R117" s="169">
        <v>0.9</v>
      </c>
      <c r="S117" s="140"/>
      <c r="T117" s="93">
        <v>0.988</v>
      </c>
      <c r="U117" s="140"/>
      <c r="V117" s="139"/>
      <c r="W117" s="187">
        <f>IFERROR(__xludf.DUMMYFUNCTION("+T117"),0.988)</f>
        <v>0.988</v>
      </c>
      <c r="X117" s="93">
        <f>IFERROR(__xludf.DUMMYFUNCTION("+W117-R117"),0.08799999999999997)</f>
        <v>0.088</v>
      </c>
      <c r="Y117" s="99" t="s">
        <v>718</v>
      </c>
      <c r="Z117" s="105"/>
      <c r="AA117" s="105"/>
      <c r="AB117" s="105"/>
      <c r="AC117" s="105"/>
      <c r="AD117" s="105"/>
      <c r="AE117" s="105"/>
    </row>
    <row r="118" ht="15.0" customHeight="1">
      <c r="B118" s="69"/>
      <c r="C118" s="185" t="s">
        <v>127</v>
      </c>
      <c r="D118" s="186"/>
      <c r="E118" s="186"/>
      <c r="F118" s="184"/>
      <c r="G118" s="184"/>
      <c r="H118" s="184"/>
      <c r="I118" s="184"/>
      <c r="J118" s="184"/>
      <c r="L118" s="61"/>
      <c r="M118" s="62"/>
      <c r="N118" s="63"/>
      <c r="O118" s="62"/>
      <c r="P118" s="63"/>
      <c r="Q118" s="62"/>
      <c r="R118" s="114"/>
      <c r="S118" s="68"/>
      <c r="T118" s="92"/>
      <c r="U118" s="68"/>
      <c r="V118" s="64"/>
      <c r="W118" s="145"/>
      <c r="X118" s="92"/>
      <c r="Y118" s="89" t="s">
        <v>719</v>
      </c>
    </row>
    <row r="119" ht="14.25" customHeight="1">
      <c r="B119" s="148" t="s">
        <v>49</v>
      </c>
      <c r="C119" s="70"/>
      <c r="D119" s="183"/>
      <c r="E119" s="184"/>
      <c r="F119" s="184"/>
      <c r="G119" s="184"/>
      <c r="H119" s="184"/>
      <c r="I119" s="184"/>
      <c r="J119" s="184"/>
      <c r="L119" s="61"/>
      <c r="M119" s="62"/>
      <c r="N119" s="63"/>
      <c r="O119" s="62"/>
      <c r="P119" s="63"/>
      <c r="Q119" s="62"/>
      <c r="R119" s="63"/>
      <c r="S119" s="68"/>
      <c r="T119" s="64"/>
      <c r="U119" s="68"/>
      <c r="V119" s="64"/>
      <c r="W119" s="68"/>
      <c r="X119" s="64"/>
      <c r="Y119" s="65"/>
    </row>
    <row r="120" ht="14.25" customHeight="1">
      <c r="B120" s="69">
        <v>2.11</v>
      </c>
      <c r="C120" s="70" t="s">
        <v>130</v>
      </c>
      <c r="D120" s="154"/>
      <c r="L120" s="61"/>
      <c r="M120" s="62"/>
      <c r="N120" s="63"/>
      <c r="O120" s="62"/>
      <c r="P120" s="63"/>
      <c r="Q120" s="62"/>
      <c r="R120" s="83">
        <v>20000.0</v>
      </c>
      <c r="S120" s="68"/>
      <c r="T120" s="64"/>
      <c r="U120" s="68"/>
      <c r="V120" s="64"/>
      <c r="W120" s="68">
        <f>SUM(W122:W130)</f>
        <v>92442</v>
      </c>
      <c r="X120" s="191">
        <f>IFERROR(__xludf.DUMMYFUNCTION("+W120-R120"),72442.0)</f>
        <v>72442</v>
      </c>
      <c r="Y120" s="515" t="s">
        <v>720</v>
      </c>
    </row>
    <row r="121" ht="14.25" customHeight="1">
      <c r="B121" s="69"/>
      <c r="C121" s="144" t="s">
        <v>132</v>
      </c>
      <c r="D121" s="154"/>
      <c r="L121" s="61"/>
      <c r="M121" s="62"/>
      <c r="N121" s="63"/>
      <c r="O121" s="62"/>
      <c r="P121" s="63"/>
      <c r="Q121" s="62"/>
      <c r="R121" s="83"/>
      <c r="S121" s="68"/>
      <c r="T121" s="64"/>
      <c r="U121" s="68"/>
      <c r="V121" s="64"/>
      <c r="W121" s="68"/>
      <c r="X121" s="191"/>
      <c r="Y121" s="40"/>
    </row>
    <row r="122" ht="14.25" customHeight="1">
      <c r="B122" s="69"/>
      <c r="C122" s="77" t="s">
        <v>133</v>
      </c>
      <c r="D122" s="154"/>
      <c r="L122" s="61"/>
      <c r="M122" s="62"/>
      <c r="N122" s="63"/>
      <c r="O122" s="62"/>
      <c r="P122" s="63"/>
      <c r="Q122" s="62"/>
      <c r="R122" s="83"/>
      <c r="S122" s="68">
        <v>2236.0</v>
      </c>
      <c r="T122" s="64">
        <v>4565.0</v>
      </c>
      <c r="U122" s="68">
        <v>5088.0</v>
      </c>
      <c r="V122" s="64">
        <v>11717.0</v>
      </c>
      <c r="W122" s="68">
        <f t="shared" ref="W122:W130" si="1">SUM(S122:V122)</f>
        <v>23606</v>
      </c>
      <c r="X122" s="64"/>
      <c r="Y122" s="40"/>
    </row>
    <row r="123" ht="14.25" customHeight="1">
      <c r="B123" s="69"/>
      <c r="C123" s="77" t="s">
        <v>134</v>
      </c>
      <c r="D123" s="154"/>
      <c r="L123" s="61"/>
      <c r="M123" s="62"/>
      <c r="N123" s="63"/>
      <c r="O123" s="62"/>
      <c r="P123" s="63"/>
      <c r="Q123" s="62"/>
      <c r="R123" s="83"/>
      <c r="S123" s="68">
        <v>510.0</v>
      </c>
      <c r="T123" s="64">
        <v>1048.0</v>
      </c>
      <c r="U123" s="68">
        <v>1270.0</v>
      </c>
      <c r="V123" s="64">
        <v>3226.0</v>
      </c>
      <c r="W123" s="68">
        <f t="shared" si="1"/>
        <v>6054</v>
      </c>
      <c r="X123" s="64"/>
      <c r="Y123" s="40"/>
    </row>
    <row r="124" ht="14.25" customHeight="1">
      <c r="B124" s="69"/>
      <c r="C124" s="77" t="s">
        <v>135</v>
      </c>
      <c r="D124" s="154"/>
      <c r="L124" s="61"/>
      <c r="M124" s="62"/>
      <c r="N124" s="63"/>
      <c r="O124" s="62"/>
      <c r="P124" s="63"/>
      <c r="Q124" s="62"/>
      <c r="R124" s="83"/>
      <c r="S124" s="68">
        <v>94.0</v>
      </c>
      <c r="T124" s="64">
        <v>120.0</v>
      </c>
      <c r="U124" s="68">
        <v>131.0</v>
      </c>
      <c r="V124" s="64">
        <v>14983.0</v>
      </c>
      <c r="W124" s="68">
        <f t="shared" si="1"/>
        <v>15328</v>
      </c>
      <c r="X124" s="64"/>
      <c r="Y124" s="40"/>
    </row>
    <row r="125" ht="14.25" customHeight="1">
      <c r="B125" s="69"/>
      <c r="C125" s="70" t="s">
        <v>136</v>
      </c>
      <c r="D125" s="183"/>
      <c r="L125" s="61"/>
      <c r="M125" s="62"/>
      <c r="N125" s="63"/>
      <c r="O125" s="62"/>
      <c r="P125" s="63"/>
      <c r="Q125" s="62"/>
      <c r="R125" s="63"/>
      <c r="S125" s="68">
        <v>25.0</v>
      </c>
      <c r="T125" s="64">
        <v>84.0</v>
      </c>
      <c r="U125" s="68">
        <v>52.0</v>
      </c>
      <c r="V125" s="64">
        <v>113.0</v>
      </c>
      <c r="W125" s="68">
        <f t="shared" si="1"/>
        <v>274</v>
      </c>
      <c r="X125" s="64"/>
      <c r="Y125" s="40"/>
    </row>
    <row r="126" ht="14.25" customHeight="1">
      <c r="B126" s="69"/>
      <c r="C126" s="70" t="s">
        <v>137</v>
      </c>
      <c r="D126" s="154"/>
      <c r="L126" s="61"/>
      <c r="M126" s="62"/>
      <c r="N126" s="63"/>
      <c r="O126" s="62"/>
      <c r="P126" s="63"/>
      <c r="Q126" s="62"/>
      <c r="R126" s="63"/>
      <c r="S126" s="68">
        <v>7.0</v>
      </c>
      <c r="T126" s="64">
        <v>13.0</v>
      </c>
      <c r="U126" s="68">
        <v>131.0</v>
      </c>
      <c r="V126" s="64">
        <v>690.0</v>
      </c>
      <c r="W126" s="68">
        <f t="shared" si="1"/>
        <v>841</v>
      </c>
      <c r="X126" s="64"/>
      <c r="Y126" s="40"/>
    </row>
    <row r="127" ht="14.25" customHeight="1">
      <c r="B127" s="69"/>
      <c r="C127" s="77" t="s">
        <v>138</v>
      </c>
      <c r="D127" s="154"/>
      <c r="L127" s="61"/>
      <c r="M127" s="62"/>
      <c r="N127" s="64"/>
      <c r="O127" s="68"/>
      <c r="P127" s="64"/>
      <c r="Q127" s="68"/>
      <c r="R127" s="64"/>
      <c r="S127" s="68">
        <v>594.0</v>
      </c>
      <c r="T127" s="64">
        <v>740.0</v>
      </c>
      <c r="U127" s="68">
        <v>154.0</v>
      </c>
      <c r="V127" s="64">
        <v>177.0</v>
      </c>
      <c r="W127" s="68">
        <f t="shared" si="1"/>
        <v>1665</v>
      </c>
      <c r="X127" s="64"/>
      <c r="Y127" s="40"/>
    </row>
    <row r="128" ht="14.25" customHeight="1">
      <c r="B128" s="69"/>
      <c r="C128" s="77" t="s">
        <v>139</v>
      </c>
      <c r="D128" s="154"/>
      <c r="L128" s="61"/>
      <c r="M128" s="62"/>
      <c r="N128" s="64"/>
      <c r="O128" s="68"/>
      <c r="P128" s="64"/>
      <c r="Q128" s="68"/>
      <c r="R128" s="64"/>
      <c r="S128" s="68">
        <v>0.0</v>
      </c>
      <c r="T128" s="64">
        <v>0.0</v>
      </c>
      <c r="U128" s="68">
        <v>130.0</v>
      </c>
      <c r="V128" s="64">
        <v>2040.0</v>
      </c>
      <c r="W128" s="68">
        <f t="shared" si="1"/>
        <v>2170</v>
      </c>
      <c r="X128" s="64"/>
      <c r="Y128" s="40"/>
    </row>
    <row r="129" ht="14.25" customHeight="1">
      <c r="B129" s="69"/>
      <c r="C129" s="77" t="s">
        <v>140</v>
      </c>
      <c r="D129" s="154"/>
      <c r="L129" s="61"/>
      <c r="M129" s="62"/>
      <c r="N129" s="64"/>
      <c r="O129" s="68"/>
      <c r="P129" s="64"/>
      <c r="Q129" s="68"/>
      <c r="R129" s="64"/>
      <c r="S129" s="68">
        <v>2914.0</v>
      </c>
      <c r="T129" s="64">
        <v>6131.0</v>
      </c>
      <c r="U129" s="68">
        <v>6774.0</v>
      </c>
      <c r="V129" s="64">
        <v>26685.0</v>
      </c>
      <c r="W129" s="68">
        <f t="shared" si="1"/>
        <v>42504</v>
      </c>
      <c r="X129" s="64"/>
      <c r="Y129" s="40"/>
    </row>
    <row r="130" ht="14.25" customHeight="1">
      <c r="B130" s="69"/>
      <c r="C130" s="77" t="s">
        <v>141</v>
      </c>
      <c r="D130" s="154"/>
      <c r="L130" s="61"/>
      <c r="M130" s="62"/>
      <c r="N130" s="64"/>
      <c r="O130" s="68"/>
      <c r="P130" s="64"/>
      <c r="Q130" s="68"/>
      <c r="R130" s="64"/>
      <c r="S130" s="68">
        <v>0.0</v>
      </c>
      <c r="T130" s="64">
        <v>0.0</v>
      </c>
      <c r="U130" s="68">
        <v>0.0</v>
      </c>
      <c r="V130" s="64">
        <v>0.0</v>
      </c>
      <c r="W130" s="68">
        <f t="shared" si="1"/>
        <v>0</v>
      </c>
      <c r="X130" s="64"/>
      <c r="Y130" s="90"/>
    </row>
    <row r="131" ht="14.25" customHeight="1">
      <c r="B131" s="69"/>
      <c r="C131" s="77" t="s">
        <v>142</v>
      </c>
      <c r="D131" s="154"/>
      <c r="L131" s="61"/>
      <c r="M131" s="62"/>
      <c r="N131" s="64"/>
      <c r="O131" s="68"/>
      <c r="P131" s="64"/>
      <c r="Q131" s="68"/>
      <c r="R131" s="64"/>
      <c r="S131" s="68"/>
      <c r="T131" s="64"/>
      <c r="U131" s="68"/>
      <c r="V131" s="64"/>
      <c r="W131" s="68"/>
      <c r="X131" s="64"/>
      <c r="Y131" s="192"/>
    </row>
    <row r="132" ht="14.25" customHeight="1">
      <c r="B132" s="69"/>
      <c r="C132" s="144" t="s">
        <v>143</v>
      </c>
      <c r="D132" s="154"/>
      <c r="L132" s="61"/>
      <c r="M132" s="62"/>
      <c r="N132" s="63"/>
      <c r="O132" s="62"/>
      <c r="P132" s="63"/>
      <c r="Q132" s="62"/>
      <c r="R132" s="83"/>
      <c r="S132" s="68"/>
      <c r="T132" s="64"/>
      <c r="U132" s="68"/>
      <c r="V132" s="64"/>
      <c r="W132" s="68"/>
      <c r="X132" s="191"/>
      <c r="Y132" s="192"/>
    </row>
    <row r="133" ht="14.25" customHeight="1">
      <c r="B133" s="69"/>
      <c r="C133" s="77" t="s">
        <v>144</v>
      </c>
      <c r="D133" s="154"/>
      <c r="L133" s="61"/>
      <c r="M133" s="62"/>
      <c r="N133" s="63"/>
      <c r="O133" s="62"/>
      <c r="P133" s="63"/>
      <c r="Q133" s="62"/>
      <c r="R133" s="83"/>
      <c r="S133" s="68">
        <v>563.0</v>
      </c>
      <c r="T133" s="64">
        <v>1281.0</v>
      </c>
      <c r="U133" s="68">
        <v>1378.0</v>
      </c>
      <c r="V133" s="64">
        <v>4430.0</v>
      </c>
      <c r="W133" s="68">
        <f t="shared" ref="W133:W139" si="2">SUM(S133:V133)</f>
        <v>7652</v>
      </c>
      <c r="X133" s="64"/>
      <c r="Y133" s="192"/>
    </row>
    <row r="134" ht="14.25" customHeight="1">
      <c r="B134" s="69"/>
      <c r="C134" s="77" t="s">
        <v>145</v>
      </c>
      <c r="D134" s="154"/>
      <c r="L134" s="61"/>
      <c r="M134" s="62"/>
      <c r="N134" s="63"/>
      <c r="O134" s="62"/>
      <c r="P134" s="63"/>
      <c r="Q134" s="62"/>
      <c r="R134" s="83"/>
      <c r="S134" s="68">
        <v>1519.0</v>
      </c>
      <c r="T134" s="64">
        <v>3336.0</v>
      </c>
      <c r="U134" s="68">
        <v>3665.0</v>
      </c>
      <c r="V134" s="64">
        <v>12083.0</v>
      </c>
      <c r="W134" s="68">
        <f t="shared" si="2"/>
        <v>20603</v>
      </c>
      <c r="X134" s="64"/>
      <c r="Y134" s="192"/>
    </row>
    <row r="135" ht="14.25" customHeight="1">
      <c r="B135" s="69"/>
      <c r="C135" s="77" t="s">
        <v>146</v>
      </c>
      <c r="D135" s="154"/>
      <c r="L135" s="61"/>
      <c r="M135" s="62"/>
      <c r="N135" s="63"/>
      <c r="O135" s="62"/>
      <c r="P135" s="63"/>
      <c r="Q135" s="62"/>
      <c r="R135" s="83"/>
      <c r="S135" s="68">
        <v>8.0</v>
      </c>
      <c r="T135" s="64">
        <v>13.0</v>
      </c>
      <c r="U135" s="68">
        <v>18.0</v>
      </c>
      <c r="V135" s="64">
        <v>441.0</v>
      </c>
      <c r="W135" s="68">
        <f t="shared" si="2"/>
        <v>480</v>
      </c>
      <c r="X135" s="64"/>
      <c r="Y135" s="192"/>
    </row>
    <row r="136" ht="14.25" customHeight="1">
      <c r="B136" s="69"/>
      <c r="C136" s="70" t="s">
        <v>147</v>
      </c>
      <c r="D136" s="183"/>
      <c r="L136" s="61"/>
      <c r="M136" s="62"/>
      <c r="N136" s="63"/>
      <c r="O136" s="62"/>
      <c r="P136" s="63"/>
      <c r="Q136" s="62"/>
      <c r="R136" s="63"/>
      <c r="S136" s="68">
        <v>178.0</v>
      </c>
      <c r="T136" s="64">
        <v>384.0</v>
      </c>
      <c r="U136" s="68">
        <v>390.0</v>
      </c>
      <c r="V136" s="64">
        <v>12460.0</v>
      </c>
      <c r="W136" s="68">
        <f t="shared" si="2"/>
        <v>13412</v>
      </c>
      <c r="X136" s="64"/>
      <c r="Y136" s="192"/>
    </row>
    <row r="137" ht="14.25" customHeight="1">
      <c r="B137" s="69"/>
      <c r="C137" s="70" t="s">
        <v>148</v>
      </c>
      <c r="D137" s="154"/>
      <c r="L137" s="61"/>
      <c r="M137" s="62"/>
      <c r="N137" s="63"/>
      <c r="O137" s="62"/>
      <c r="P137" s="63"/>
      <c r="Q137" s="62"/>
      <c r="R137" s="63"/>
      <c r="S137" s="68">
        <v>496.0</v>
      </c>
      <c r="T137" s="64">
        <v>1023.0</v>
      </c>
      <c r="U137" s="68">
        <v>1234.0</v>
      </c>
      <c r="V137" s="64">
        <v>3207.0</v>
      </c>
      <c r="W137" s="68">
        <f t="shared" si="2"/>
        <v>5960</v>
      </c>
      <c r="X137" s="64"/>
      <c r="Y137" s="192"/>
    </row>
    <row r="138" ht="14.25" customHeight="1">
      <c r="B138" s="69"/>
      <c r="C138" s="77" t="s">
        <v>149</v>
      </c>
      <c r="D138" s="154"/>
      <c r="L138" s="61"/>
      <c r="M138" s="62"/>
      <c r="N138" s="64"/>
      <c r="O138" s="68"/>
      <c r="P138" s="64"/>
      <c r="Q138" s="68"/>
      <c r="R138" s="64"/>
      <c r="S138" s="68">
        <v>93.0</v>
      </c>
      <c r="T138" s="64">
        <v>236.0</v>
      </c>
      <c r="U138" s="68">
        <v>210.0</v>
      </c>
      <c r="V138" s="64">
        <v>283.0</v>
      </c>
      <c r="W138" s="68">
        <f t="shared" si="2"/>
        <v>822</v>
      </c>
      <c r="X138" s="64"/>
      <c r="Y138" s="192"/>
    </row>
    <row r="139" ht="14.25" customHeight="1">
      <c r="B139" s="69"/>
      <c r="C139" s="77" t="s">
        <v>150</v>
      </c>
      <c r="D139" s="154"/>
      <c r="L139" s="61"/>
      <c r="M139" s="62"/>
      <c r="N139" s="64"/>
      <c r="O139" s="68"/>
      <c r="P139" s="64"/>
      <c r="Q139" s="68"/>
      <c r="R139" s="64"/>
      <c r="S139" s="68">
        <v>0.0</v>
      </c>
      <c r="T139" s="64">
        <v>1.0</v>
      </c>
      <c r="U139" s="68">
        <v>1.0</v>
      </c>
      <c r="V139" s="64">
        <v>7.0</v>
      </c>
      <c r="W139" s="68">
        <f t="shared" si="2"/>
        <v>9</v>
      </c>
      <c r="X139" s="64"/>
      <c r="Y139" s="192"/>
    </row>
    <row r="140" ht="14.25" customHeight="1">
      <c r="B140" s="69"/>
      <c r="C140" s="77"/>
      <c r="D140" s="154"/>
      <c r="L140" s="61"/>
      <c r="M140" s="62"/>
      <c r="N140" s="64"/>
      <c r="O140" s="68"/>
      <c r="P140" s="64"/>
      <c r="Q140" s="68"/>
      <c r="R140" s="64"/>
      <c r="S140" s="68"/>
      <c r="T140" s="64"/>
      <c r="U140" s="68"/>
      <c r="V140" s="64"/>
      <c r="W140" s="68"/>
      <c r="X140" s="64"/>
      <c r="Y140" s="192"/>
    </row>
    <row r="141" ht="14.25" customHeight="1">
      <c r="B141" s="69"/>
      <c r="C141" s="193" t="s">
        <v>151</v>
      </c>
      <c r="D141" s="167"/>
      <c r="E141" s="67"/>
      <c r="F141" s="67"/>
      <c r="G141" s="67"/>
      <c r="H141" s="67"/>
      <c r="I141" s="67"/>
      <c r="J141" s="67"/>
      <c r="K141" s="67"/>
      <c r="L141" s="61"/>
      <c r="M141" s="62"/>
      <c r="N141" s="64"/>
      <c r="O141" s="68"/>
      <c r="P141" s="64"/>
      <c r="Q141" s="68"/>
      <c r="R141" s="64"/>
      <c r="S141" s="68"/>
      <c r="T141" s="64"/>
      <c r="U141" s="68"/>
      <c r="V141" s="64"/>
      <c r="W141" s="68"/>
      <c r="X141" s="64"/>
      <c r="Y141" s="192"/>
    </row>
    <row r="142" ht="60.0" customHeight="1">
      <c r="B142" s="69"/>
      <c r="C142" s="194" t="s">
        <v>152</v>
      </c>
      <c r="D142" s="154"/>
      <c r="L142" s="61"/>
      <c r="M142" s="62"/>
      <c r="N142" s="139"/>
      <c r="O142" s="140"/>
      <c r="P142" s="139"/>
      <c r="Q142" s="140"/>
      <c r="R142" s="98"/>
      <c r="S142" s="195"/>
      <c r="T142" s="98"/>
      <c r="U142" s="195"/>
      <c r="V142" s="98"/>
      <c r="W142" s="195"/>
      <c r="X142" s="64"/>
      <c r="Y142" s="76" t="s">
        <v>721</v>
      </c>
    </row>
    <row r="143" ht="39.75" customHeight="1">
      <c r="A143" s="105"/>
      <c r="B143" s="96"/>
      <c r="C143" s="194"/>
      <c r="D143" s="196" t="s">
        <v>153</v>
      </c>
      <c r="E143" s="105"/>
      <c r="F143" s="105"/>
      <c r="G143" s="105"/>
      <c r="H143" s="105"/>
      <c r="I143" s="105"/>
      <c r="J143" s="105"/>
      <c r="K143" s="105"/>
      <c r="L143" s="107"/>
      <c r="M143" s="108"/>
      <c r="N143" s="139"/>
      <c r="O143" s="140"/>
      <c r="P143" s="139"/>
      <c r="Q143" s="140"/>
      <c r="R143" s="98">
        <v>226174.0</v>
      </c>
      <c r="S143" s="195">
        <v>105221.0</v>
      </c>
      <c r="T143" s="98"/>
      <c r="U143" s="195">
        <v>24334.0</v>
      </c>
      <c r="V143" s="98">
        <v>13242.0</v>
      </c>
      <c r="W143" s="195">
        <f t="shared" ref="W143:W144" si="3">SUM(S143:V143)</f>
        <v>142797</v>
      </c>
      <c r="X143" s="98">
        <f>IFERROR(__xludf.DUMMYFUNCTION("+W143-R143"),-83377.0)</f>
        <v>-83377</v>
      </c>
      <c r="Y143" s="40"/>
      <c r="Z143" s="105"/>
      <c r="AA143" s="105"/>
      <c r="AB143" s="105"/>
      <c r="AC143" s="105"/>
      <c r="AD143" s="105"/>
      <c r="AE143" s="105"/>
    </row>
    <row r="144" ht="39.75" customHeight="1">
      <c r="A144" s="105"/>
      <c r="B144" s="96"/>
      <c r="C144" s="194"/>
      <c r="D144" s="196" t="s">
        <v>154</v>
      </c>
      <c r="E144" s="105"/>
      <c r="F144" s="105"/>
      <c r="G144" s="105"/>
      <c r="H144" s="105"/>
      <c r="I144" s="105"/>
      <c r="J144" s="105"/>
      <c r="K144" s="105"/>
      <c r="L144" s="107"/>
      <c r="M144" s="108"/>
      <c r="N144" s="139"/>
      <c r="O144" s="140"/>
      <c r="P144" s="139"/>
      <c r="Q144" s="140"/>
      <c r="R144" s="98">
        <v>225615.0</v>
      </c>
      <c r="S144" s="195"/>
      <c r="T144" s="98"/>
      <c r="U144" s="195"/>
      <c r="V144" s="98">
        <v>4151.0</v>
      </c>
      <c r="W144" s="195">
        <f t="shared" si="3"/>
        <v>4151</v>
      </c>
      <c r="X144" s="98">
        <f>IFERROR(__xludf.DUMMYFUNCTION("+W144-R144"),-221464.0)</f>
        <v>-221464</v>
      </c>
      <c r="Y144" s="90"/>
      <c r="Z144" s="105"/>
      <c r="AA144" s="105"/>
      <c r="AB144" s="105"/>
      <c r="AC144" s="105"/>
      <c r="AD144" s="105"/>
      <c r="AE144" s="105"/>
    </row>
    <row r="145" ht="14.25" customHeight="1">
      <c r="B145" s="69"/>
      <c r="C145" s="193" t="s">
        <v>155</v>
      </c>
      <c r="D145" s="167"/>
      <c r="E145" s="67"/>
      <c r="F145" s="67"/>
      <c r="G145" s="67"/>
      <c r="H145" s="67"/>
      <c r="I145" s="67"/>
      <c r="J145" s="67"/>
      <c r="K145" s="67"/>
      <c r="L145" s="61"/>
      <c r="M145" s="62"/>
      <c r="N145" s="64"/>
      <c r="O145" s="68"/>
      <c r="P145" s="64"/>
      <c r="Q145" s="68"/>
      <c r="R145" s="64"/>
      <c r="S145" s="68"/>
      <c r="T145" s="64"/>
      <c r="U145" s="68"/>
      <c r="V145" s="64"/>
      <c r="W145" s="68"/>
      <c r="X145" s="64"/>
      <c r="Y145" s="192"/>
    </row>
    <row r="146" ht="14.25" customHeight="1">
      <c r="B146" s="69"/>
      <c r="C146" s="183" t="s">
        <v>156</v>
      </c>
      <c r="D146" s="154"/>
      <c r="L146" s="61"/>
      <c r="M146" s="62"/>
      <c r="N146" s="64"/>
      <c r="O146" s="68"/>
      <c r="P146" s="64"/>
      <c r="Q146" s="68"/>
      <c r="R146" s="64"/>
      <c r="S146" s="68"/>
      <c r="T146" s="64"/>
      <c r="U146" s="68"/>
      <c r="V146" s="64"/>
      <c r="W146" s="68"/>
      <c r="X146" s="64"/>
      <c r="Y146" s="192"/>
    </row>
    <row r="147" ht="14.25" customHeight="1">
      <c r="B147" s="69"/>
      <c r="C147" s="77" t="s">
        <v>157</v>
      </c>
      <c r="D147" s="154"/>
      <c r="L147" s="61"/>
      <c r="M147" s="62"/>
      <c r="N147" s="64"/>
      <c r="O147" s="68"/>
      <c r="P147" s="64"/>
      <c r="Q147" s="68"/>
      <c r="R147" s="64">
        <v>24.0</v>
      </c>
      <c r="S147" s="68"/>
      <c r="T147" s="64"/>
      <c r="U147" s="68">
        <v>6.0</v>
      </c>
      <c r="V147" s="64">
        <v>9.0</v>
      </c>
      <c r="W147" s="68">
        <f>IFERROR(__xludf.DUMMYFUNCTION("+V147"),9.0)</f>
        <v>9</v>
      </c>
      <c r="X147" s="64">
        <f>IFERROR(__xludf.DUMMYFUNCTION("+W147-R147"),-15.0)</f>
        <v>-15</v>
      </c>
      <c r="Y147" s="76" t="s">
        <v>722</v>
      </c>
    </row>
    <row r="148" ht="14.25" customHeight="1">
      <c r="B148" s="69"/>
      <c r="C148" s="77" t="s">
        <v>159</v>
      </c>
      <c r="D148" s="154"/>
      <c r="L148" s="61"/>
      <c r="M148" s="62"/>
      <c r="N148" s="64"/>
      <c r="O148" s="68"/>
      <c r="P148" s="64"/>
      <c r="Q148" s="68"/>
      <c r="R148" s="64"/>
      <c r="S148" s="68"/>
      <c r="T148" s="64"/>
      <c r="U148" s="68"/>
      <c r="V148" s="64"/>
      <c r="W148" s="68"/>
      <c r="X148" s="64"/>
      <c r="Y148" s="40"/>
    </row>
    <row r="149" ht="14.25" customHeight="1">
      <c r="B149" s="69"/>
      <c r="D149" s="77" t="s">
        <v>160</v>
      </c>
      <c r="L149" s="61"/>
      <c r="M149" s="62"/>
      <c r="N149" s="64" t="s">
        <v>131</v>
      </c>
      <c r="O149" s="68" t="s">
        <v>131</v>
      </c>
      <c r="P149" s="64" t="s">
        <v>131</v>
      </c>
      <c r="Q149" s="68" t="s">
        <v>131</v>
      </c>
      <c r="R149" s="64" t="s">
        <v>131</v>
      </c>
      <c r="S149" s="68"/>
      <c r="T149" s="64"/>
      <c r="U149" s="68"/>
      <c r="V149" s="64"/>
      <c r="W149" s="68"/>
      <c r="X149" s="64"/>
      <c r="Y149" s="40"/>
    </row>
    <row r="150" ht="14.25" customHeight="1">
      <c r="B150" s="69"/>
      <c r="D150" s="77" t="s">
        <v>161</v>
      </c>
      <c r="L150" s="61"/>
      <c r="M150" s="62"/>
      <c r="N150" s="64" t="s">
        <v>131</v>
      </c>
      <c r="O150" s="68" t="s">
        <v>131</v>
      </c>
      <c r="P150" s="64" t="s">
        <v>131</v>
      </c>
      <c r="Q150" s="68" t="s">
        <v>131</v>
      </c>
      <c r="R150" s="64" t="s">
        <v>131</v>
      </c>
      <c r="S150" s="68"/>
      <c r="T150" s="64"/>
      <c r="U150" s="68"/>
      <c r="V150" s="64"/>
      <c r="W150" s="68"/>
      <c r="X150" s="64"/>
      <c r="Y150" s="90"/>
    </row>
    <row r="151" ht="14.25" customHeight="1">
      <c r="B151" s="69">
        <v>2.12</v>
      </c>
      <c r="C151" s="70" t="s">
        <v>162</v>
      </c>
      <c r="D151" s="143"/>
      <c r="E151" s="143"/>
      <c r="L151" s="61"/>
      <c r="M151" s="62"/>
      <c r="N151" s="64"/>
      <c r="O151" s="68"/>
      <c r="P151" s="64"/>
      <c r="Q151" s="68"/>
      <c r="R151" s="64"/>
      <c r="S151" s="68"/>
      <c r="T151" s="64"/>
      <c r="U151" s="68"/>
      <c r="V151" s="64"/>
      <c r="W151" s="68"/>
      <c r="X151" s="64"/>
      <c r="Y151" s="65"/>
    </row>
    <row r="152" ht="14.25" customHeight="1">
      <c r="B152" s="69"/>
      <c r="C152" s="91" t="s">
        <v>163</v>
      </c>
      <c r="D152" s="144"/>
      <c r="E152" s="144"/>
      <c r="L152" s="61"/>
      <c r="M152" s="62"/>
      <c r="N152" s="64">
        <v>30.0</v>
      </c>
      <c r="O152" s="68">
        <v>30.0</v>
      </c>
      <c r="P152" s="64">
        <v>40.0</v>
      </c>
      <c r="Q152" s="68">
        <v>40.0</v>
      </c>
      <c r="R152" s="64">
        <v>140.0</v>
      </c>
      <c r="S152" s="68">
        <v>56.0</v>
      </c>
      <c r="T152" s="64">
        <v>45.0</v>
      </c>
      <c r="U152" s="68">
        <v>40.0</v>
      </c>
      <c r="V152" s="64">
        <v>241.0</v>
      </c>
      <c r="W152" s="68">
        <f>IFERROR(__xludf.DUMMYFUNCTION("+SUM(S152:V152)"),382.0)</f>
        <v>382</v>
      </c>
      <c r="X152" s="73">
        <f>IFERROR(__xludf.DUMMYFUNCTION("+W152-R152"),242.0)</f>
        <v>242</v>
      </c>
      <c r="Y152" s="65"/>
    </row>
    <row r="153" ht="14.25" customHeight="1">
      <c r="B153" s="69"/>
      <c r="C153" s="91" t="s">
        <v>164</v>
      </c>
      <c r="D153" s="70"/>
      <c r="L153" s="61"/>
      <c r="M153" s="62"/>
      <c r="N153" s="64">
        <v>40.0</v>
      </c>
      <c r="O153" s="68">
        <v>40.0</v>
      </c>
      <c r="P153" s="64">
        <v>50.0</v>
      </c>
      <c r="Q153" s="68">
        <v>50.0</v>
      </c>
      <c r="R153" s="64">
        <v>180.0</v>
      </c>
      <c r="S153" s="68">
        <v>24.0</v>
      </c>
      <c r="T153" s="64">
        <v>21.0</v>
      </c>
      <c r="U153" s="68">
        <v>12.0</v>
      </c>
      <c r="V153" s="64">
        <v>28.0</v>
      </c>
      <c r="W153" s="68">
        <f>IFERROR(__xludf.DUMMYFUNCTION("+SUM(S153:V153)"),85.0)</f>
        <v>85</v>
      </c>
      <c r="X153" s="73">
        <f>IFERROR(__xludf.DUMMYFUNCTION("+W153-R153"),-95.0)</f>
        <v>-95</v>
      </c>
      <c r="Y153" s="65"/>
    </row>
    <row r="154" ht="14.25" customHeight="1">
      <c r="B154" s="69"/>
      <c r="C154" s="70" t="s">
        <v>165</v>
      </c>
      <c r="D154" s="197"/>
      <c r="L154" s="61"/>
      <c r="M154" s="62"/>
      <c r="N154" s="64">
        <v>30.0</v>
      </c>
      <c r="O154" s="68">
        <v>30.0</v>
      </c>
      <c r="P154" s="64">
        <v>40.0</v>
      </c>
      <c r="Q154" s="68">
        <v>40.0</v>
      </c>
      <c r="R154" s="64">
        <v>140.0</v>
      </c>
      <c r="S154" s="68">
        <v>21.0</v>
      </c>
      <c r="T154" s="64">
        <v>12.0</v>
      </c>
      <c r="U154" s="68">
        <v>8.0</v>
      </c>
      <c r="V154" s="64">
        <v>5.0</v>
      </c>
      <c r="W154" s="68">
        <f>IFERROR(__xludf.DUMMYFUNCTION("+SUM(S154:V154)"),46.0)</f>
        <v>46</v>
      </c>
      <c r="X154" s="73">
        <f>IFERROR(__xludf.DUMMYFUNCTION("+W154-R154"),-94.0)</f>
        <v>-94</v>
      </c>
      <c r="Y154" s="65"/>
    </row>
    <row r="155" ht="14.25" customHeight="1">
      <c r="B155" s="69"/>
      <c r="C155" s="70" t="s">
        <v>166</v>
      </c>
      <c r="D155" s="197"/>
      <c r="L155" s="61"/>
      <c r="M155" s="62"/>
      <c r="N155" s="64">
        <v>10.0</v>
      </c>
      <c r="O155" s="68">
        <v>10.0</v>
      </c>
      <c r="P155" s="64">
        <v>10.0</v>
      </c>
      <c r="Q155" s="68">
        <v>10.0</v>
      </c>
      <c r="R155" s="64">
        <v>40.0</v>
      </c>
      <c r="S155" s="68">
        <v>10.0</v>
      </c>
      <c r="T155" s="64">
        <v>1.0</v>
      </c>
      <c r="U155" s="68">
        <v>11.0</v>
      </c>
      <c r="V155" s="64">
        <v>45.0</v>
      </c>
      <c r="W155" s="68">
        <f>IFERROR(__xludf.DUMMYFUNCTION("+SUM(S155:V155)"),67.0)</f>
        <v>67</v>
      </c>
      <c r="X155" s="73">
        <f>IFERROR(__xludf.DUMMYFUNCTION("+W155-R155"),27.0)</f>
        <v>27</v>
      </c>
      <c r="Y155" s="65"/>
    </row>
    <row r="156" ht="14.25" customHeight="1">
      <c r="B156" s="69">
        <v>2.13</v>
      </c>
      <c r="C156" s="70" t="s">
        <v>167</v>
      </c>
      <c r="D156" s="197"/>
      <c r="L156" s="61"/>
      <c r="M156" s="62"/>
      <c r="N156" s="64"/>
      <c r="O156" s="68"/>
      <c r="P156" s="64"/>
      <c r="Q156" s="68"/>
      <c r="R156" s="64"/>
      <c r="S156" s="68"/>
      <c r="T156" s="64"/>
      <c r="U156" s="68"/>
      <c r="V156" s="64"/>
      <c r="W156" s="68"/>
      <c r="X156" s="64"/>
      <c r="Y156" s="198" t="s">
        <v>168</v>
      </c>
    </row>
    <row r="157" ht="14.25" customHeight="1">
      <c r="B157" s="69"/>
      <c r="C157" s="70" t="s">
        <v>169</v>
      </c>
      <c r="D157" s="70"/>
      <c r="L157" s="61"/>
      <c r="M157" s="62"/>
      <c r="N157" s="64"/>
      <c r="O157" s="68"/>
      <c r="P157" s="64"/>
      <c r="Q157" s="68"/>
      <c r="R157" s="64"/>
      <c r="S157" s="68"/>
      <c r="T157" s="64"/>
      <c r="U157" s="68"/>
      <c r="V157" s="64"/>
      <c r="W157" s="68"/>
      <c r="X157" s="64"/>
      <c r="Y157" s="65"/>
    </row>
    <row r="158" ht="14.25" customHeight="1">
      <c r="B158" s="69"/>
      <c r="C158" s="91" t="s">
        <v>170</v>
      </c>
      <c r="D158" s="70"/>
      <c r="L158" s="61"/>
      <c r="M158" s="62"/>
      <c r="N158" s="63"/>
      <c r="O158" s="62"/>
      <c r="P158" s="63"/>
      <c r="Q158" s="62"/>
      <c r="R158" s="63"/>
      <c r="S158" s="68"/>
      <c r="T158" s="64"/>
      <c r="U158" s="68"/>
      <c r="V158" s="64"/>
      <c r="W158" s="68"/>
      <c r="X158" s="64"/>
      <c r="Y158" s="65"/>
    </row>
    <row r="159" ht="14.25" customHeight="1">
      <c r="B159" s="69"/>
      <c r="C159" s="91" t="s">
        <v>171</v>
      </c>
      <c r="D159" s="70"/>
      <c r="L159" s="61"/>
      <c r="M159" s="62"/>
      <c r="N159" s="63"/>
      <c r="O159" s="62"/>
      <c r="P159" s="63"/>
      <c r="Q159" s="62"/>
      <c r="R159" s="63"/>
      <c r="S159" s="68"/>
      <c r="T159" s="64"/>
      <c r="U159" s="68"/>
      <c r="V159" s="64"/>
      <c r="W159" s="68"/>
      <c r="X159" s="64"/>
      <c r="Y159" s="65"/>
    </row>
    <row r="160" ht="14.25" customHeight="1">
      <c r="B160" s="69"/>
      <c r="C160" s="91" t="s">
        <v>172</v>
      </c>
      <c r="D160" s="70"/>
      <c r="L160" s="61"/>
      <c r="M160" s="62"/>
      <c r="N160" s="63"/>
      <c r="O160" s="62"/>
      <c r="P160" s="63"/>
      <c r="Q160" s="62"/>
      <c r="R160" s="63"/>
      <c r="S160" s="68"/>
      <c r="T160" s="64"/>
      <c r="U160" s="68"/>
      <c r="V160" s="64"/>
      <c r="W160" s="68"/>
      <c r="X160" s="64"/>
      <c r="Y160" s="65"/>
    </row>
    <row r="161" ht="14.25" customHeight="1">
      <c r="B161" s="69"/>
      <c r="C161" s="91" t="s">
        <v>173</v>
      </c>
      <c r="D161" s="70"/>
      <c r="L161" s="61"/>
      <c r="M161" s="62"/>
      <c r="N161" s="63"/>
      <c r="O161" s="62"/>
      <c r="P161" s="63"/>
      <c r="Q161" s="62"/>
      <c r="R161" s="63"/>
      <c r="S161" s="68"/>
      <c r="T161" s="64"/>
      <c r="U161" s="68"/>
      <c r="V161" s="64"/>
      <c r="W161" s="68"/>
      <c r="X161" s="64"/>
      <c r="Y161" s="65"/>
    </row>
    <row r="162" ht="14.25" customHeight="1">
      <c r="B162" s="69"/>
      <c r="C162" s="91" t="s">
        <v>174</v>
      </c>
      <c r="D162" s="70"/>
      <c r="L162" s="61"/>
      <c r="M162" s="62"/>
      <c r="N162" s="63"/>
      <c r="O162" s="62"/>
      <c r="P162" s="63"/>
      <c r="Q162" s="62"/>
      <c r="R162" s="63"/>
      <c r="S162" s="68"/>
      <c r="T162" s="64"/>
      <c r="U162" s="68"/>
      <c r="V162" s="64"/>
      <c r="W162" s="68"/>
      <c r="X162" s="64"/>
      <c r="Y162" s="65"/>
    </row>
    <row r="163" ht="14.25" customHeight="1">
      <c r="B163" s="69">
        <v>2.15</v>
      </c>
      <c r="C163" s="91" t="s">
        <v>175</v>
      </c>
      <c r="D163" s="70"/>
      <c r="L163" s="61"/>
      <c r="M163" s="62"/>
      <c r="N163" s="64"/>
      <c r="O163" s="68"/>
      <c r="P163" s="64"/>
      <c r="Q163" s="68"/>
      <c r="R163" s="64">
        <v>600.0</v>
      </c>
      <c r="S163" s="68">
        <v>329.0</v>
      </c>
      <c r="T163" s="64">
        <v>496.0</v>
      </c>
      <c r="U163" s="68">
        <v>234.0</v>
      </c>
      <c r="V163" s="64">
        <v>269.0</v>
      </c>
      <c r="W163" s="68">
        <f>IFERROR(__xludf.DUMMYFUNCTION("+S163+T163+U163+V163"),1328.0)</f>
        <v>1328</v>
      </c>
      <c r="X163" s="64">
        <f>IFERROR(__xludf.DUMMYFUNCTION("+W163-R163"),728.0)</f>
        <v>728</v>
      </c>
      <c r="Y163" s="65"/>
    </row>
    <row r="164" ht="14.25" customHeight="1">
      <c r="B164" s="199" t="s">
        <v>176</v>
      </c>
      <c r="C164" s="67"/>
      <c r="D164" s="151"/>
      <c r="E164" s="67"/>
      <c r="F164" s="67"/>
      <c r="G164" s="67"/>
      <c r="H164" s="67"/>
      <c r="I164" s="67"/>
      <c r="J164" s="67"/>
      <c r="K164" s="67"/>
      <c r="L164" s="61"/>
      <c r="M164" s="62"/>
      <c r="N164" s="64"/>
      <c r="O164" s="68"/>
      <c r="P164" s="64"/>
      <c r="Q164" s="68"/>
      <c r="R164" s="64"/>
      <c r="S164" s="68"/>
      <c r="T164" s="64"/>
      <c r="U164" s="68"/>
      <c r="V164" s="64"/>
      <c r="W164" s="68"/>
      <c r="X164" s="64"/>
      <c r="Y164" s="65"/>
    </row>
    <row r="165" ht="14.25" customHeight="1">
      <c r="B165" s="69"/>
      <c r="C165" s="91" t="s">
        <v>177</v>
      </c>
      <c r="D165" s="70"/>
      <c r="L165" s="61"/>
      <c r="M165" s="62"/>
      <c r="N165" s="64"/>
      <c r="O165" s="68"/>
      <c r="P165" s="64"/>
      <c r="Q165" s="68"/>
      <c r="R165" s="64">
        <v>40.0</v>
      </c>
      <c r="S165" s="68">
        <v>2.0</v>
      </c>
      <c r="T165" s="64">
        <v>5.0</v>
      </c>
      <c r="U165" s="68">
        <v>3.0</v>
      </c>
      <c r="V165" s="64">
        <v>7.0</v>
      </c>
      <c r="W165" s="68">
        <f>IFERROR(__xludf.DUMMYFUNCTION("+SUM(S165:V165)"),17.0)</f>
        <v>17</v>
      </c>
      <c r="X165" s="64">
        <f>IFERROR(__xludf.DUMMYFUNCTION("+W165-R165"),-23.0)</f>
        <v>-23</v>
      </c>
      <c r="Y165" s="89" t="s">
        <v>723</v>
      </c>
    </row>
    <row r="166" ht="14.25" customHeight="1">
      <c r="B166" s="69"/>
      <c r="C166" s="91" t="s">
        <v>179</v>
      </c>
      <c r="D166" s="70"/>
      <c r="L166" s="61"/>
      <c r="M166" s="62"/>
      <c r="N166" s="64"/>
      <c r="O166" s="68"/>
      <c r="P166" s="64"/>
      <c r="Q166" s="68"/>
      <c r="R166" s="64">
        <v>12.0</v>
      </c>
      <c r="S166" s="68">
        <v>4.0</v>
      </c>
      <c r="T166" s="64">
        <v>8.0</v>
      </c>
      <c r="U166" s="68">
        <v>2.0</v>
      </c>
      <c r="V166" s="64">
        <v>4.0</v>
      </c>
      <c r="W166" s="68">
        <f>IFERROR(__xludf.DUMMYFUNCTION("+SUM(S166:V166)"),18.0)</f>
        <v>18</v>
      </c>
      <c r="X166" s="64">
        <f>IFERROR(__xludf.DUMMYFUNCTION("+W166-R166"),6.0)</f>
        <v>6</v>
      </c>
      <c r="Y166" s="89" t="s">
        <v>723</v>
      </c>
    </row>
    <row r="167" ht="14.25" customHeight="1">
      <c r="B167" s="69"/>
      <c r="C167" s="91" t="s">
        <v>180</v>
      </c>
      <c r="D167" s="70"/>
      <c r="L167" s="61"/>
      <c r="M167" s="62"/>
      <c r="N167" s="64"/>
      <c r="O167" s="68"/>
      <c r="P167" s="64"/>
      <c r="Q167" s="68"/>
      <c r="R167" s="64">
        <v>18.0</v>
      </c>
      <c r="S167" s="68">
        <v>1.0</v>
      </c>
      <c r="T167" s="64">
        <v>4.0</v>
      </c>
      <c r="U167" s="68">
        <v>2.0</v>
      </c>
      <c r="V167" s="64">
        <v>4.0</v>
      </c>
      <c r="W167" s="68">
        <f>IFERROR(__xludf.DUMMYFUNCTION("+SUM(S167:V167)"),11.0)</f>
        <v>11</v>
      </c>
      <c r="X167" s="64">
        <f>IFERROR(__xludf.DUMMYFUNCTION("+W167-R167"),-7.0)</f>
        <v>-7</v>
      </c>
      <c r="Y167" s="89"/>
    </row>
    <row r="168" ht="14.25" customHeight="1">
      <c r="B168" s="69"/>
      <c r="C168" s="91" t="s">
        <v>181</v>
      </c>
      <c r="D168" s="70"/>
      <c r="L168" s="61"/>
      <c r="M168" s="62"/>
      <c r="N168" s="64"/>
      <c r="O168" s="68"/>
      <c r="P168" s="64"/>
      <c r="Q168" s="68"/>
      <c r="R168" s="64">
        <v>4.0</v>
      </c>
      <c r="S168" s="68">
        <v>1.0</v>
      </c>
      <c r="T168" s="64">
        <v>2.0</v>
      </c>
      <c r="U168" s="68">
        <v>0.0</v>
      </c>
      <c r="V168" s="64">
        <v>4.0</v>
      </c>
      <c r="W168" s="68">
        <f>IFERROR(__xludf.DUMMYFUNCTION("+SUM(S168:V168)"),7.0)</f>
        <v>7</v>
      </c>
      <c r="X168" s="64">
        <f>IFERROR(__xludf.DUMMYFUNCTION("+W168-R168"),3.0)</f>
        <v>3</v>
      </c>
      <c r="Y168" s="89"/>
    </row>
    <row r="169" ht="14.25" customHeight="1">
      <c r="B169" s="150" t="s">
        <v>182</v>
      </c>
      <c r="C169" s="151"/>
      <c r="D169" s="151"/>
      <c r="E169" s="152"/>
      <c r="F169" s="67"/>
      <c r="G169" s="67"/>
      <c r="H169" s="67"/>
      <c r="I169" s="67"/>
      <c r="J169" s="67"/>
      <c r="K169" s="67"/>
      <c r="L169" s="61"/>
      <c r="M169" s="62"/>
      <c r="N169" s="63"/>
      <c r="O169" s="62"/>
      <c r="P169" s="63"/>
      <c r="Q169" s="62"/>
      <c r="R169" s="63"/>
      <c r="S169" s="68"/>
      <c r="T169" s="64"/>
      <c r="U169" s="68"/>
      <c r="V169" s="64"/>
      <c r="W169" s="68"/>
      <c r="X169" s="64"/>
      <c r="Y169" s="65"/>
    </row>
    <row r="170" ht="14.25" customHeight="1">
      <c r="B170" s="148" t="s">
        <v>87</v>
      </c>
      <c r="C170" s="183"/>
      <c r="D170" s="144"/>
      <c r="E170" s="144"/>
      <c r="L170" s="61"/>
      <c r="M170" s="62"/>
      <c r="N170" s="63"/>
      <c r="O170" s="62"/>
      <c r="P170" s="63"/>
      <c r="Q170" s="62"/>
      <c r="R170" s="63"/>
      <c r="S170" s="68"/>
      <c r="T170" s="64"/>
      <c r="U170" s="68"/>
      <c r="V170" s="64"/>
      <c r="W170" s="68"/>
      <c r="X170" s="64"/>
      <c r="Y170" s="65"/>
    </row>
    <row r="171" ht="14.25" customHeight="1">
      <c r="B171" s="69">
        <v>2.6</v>
      </c>
      <c r="C171" s="91" t="s">
        <v>183</v>
      </c>
      <c r="D171" s="70"/>
      <c r="L171" s="61"/>
      <c r="M171" s="62"/>
      <c r="N171" s="63"/>
      <c r="O171" s="62"/>
      <c r="P171" s="63"/>
      <c r="Q171" s="62"/>
      <c r="R171" s="63"/>
      <c r="S171" s="68"/>
      <c r="T171" s="64"/>
      <c r="U171" s="68"/>
      <c r="V171" s="64"/>
      <c r="W171" s="68"/>
      <c r="X171" s="64"/>
      <c r="Y171" s="65"/>
    </row>
    <row r="172" ht="14.25" customHeight="1">
      <c r="B172" s="69"/>
      <c r="C172" s="91" t="s">
        <v>184</v>
      </c>
      <c r="D172" s="70"/>
      <c r="L172" s="61"/>
      <c r="M172" s="62"/>
      <c r="N172" s="63"/>
      <c r="O172" s="62"/>
      <c r="P172" s="63"/>
      <c r="Q172" s="62"/>
      <c r="R172" s="114">
        <v>0.5</v>
      </c>
      <c r="S172" s="115">
        <v>0.7273</v>
      </c>
      <c r="T172" s="114">
        <v>0.5833</v>
      </c>
      <c r="U172" s="115">
        <v>1.0</v>
      </c>
      <c r="V172" s="114">
        <v>1.0</v>
      </c>
      <c r="W172" s="145">
        <v>0.7658</v>
      </c>
      <c r="X172" s="201">
        <f>IFERROR(__xludf.DUMMYFUNCTION("+W172-R172"),0.26580000000000004)</f>
        <v>0.2658</v>
      </c>
      <c r="Y172" s="202"/>
    </row>
    <row r="173" ht="14.25" customHeight="1">
      <c r="B173" s="69"/>
      <c r="C173" s="91" t="s">
        <v>185</v>
      </c>
      <c r="D173" s="70"/>
      <c r="L173" s="61"/>
      <c r="M173" s="62"/>
      <c r="N173" s="64" t="s">
        <v>131</v>
      </c>
      <c r="O173" s="68" t="s">
        <v>131</v>
      </c>
      <c r="P173" s="64" t="s">
        <v>131</v>
      </c>
      <c r="Q173" s="68" t="s">
        <v>131</v>
      </c>
      <c r="R173" s="114" t="s">
        <v>131</v>
      </c>
      <c r="S173" s="115" t="s">
        <v>724</v>
      </c>
      <c r="T173" s="114">
        <v>1.0</v>
      </c>
      <c r="U173" s="115">
        <v>1.0</v>
      </c>
      <c r="V173" s="114">
        <v>1.0</v>
      </c>
      <c r="W173" s="145">
        <v>1.0</v>
      </c>
      <c r="X173" s="64"/>
      <c r="Y173" s="65"/>
    </row>
    <row r="174" ht="14.25" customHeight="1">
      <c r="B174" s="148" t="s">
        <v>49</v>
      </c>
      <c r="C174" s="70"/>
      <c r="D174" s="70"/>
      <c r="L174" s="61"/>
      <c r="M174" s="62"/>
      <c r="N174" s="63"/>
      <c r="O174" s="62"/>
      <c r="P174" s="63"/>
      <c r="Q174" s="62"/>
      <c r="R174" s="63"/>
      <c r="S174" s="68"/>
      <c r="T174" s="64"/>
      <c r="U174" s="68"/>
      <c r="V174" s="64"/>
      <c r="W174" s="68"/>
      <c r="X174" s="64"/>
      <c r="Y174" s="65"/>
    </row>
    <row r="175" ht="14.25" customHeight="1">
      <c r="B175" s="69">
        <v>2.16</v>
      </c>
      <c r="C175" s="91" t="s">
        <v>186</v>
      </c>
      <c r="D175" s="70"/>
      <c r="L175" s="61"/>
      <c r="M175" s="62"/>
      <c r="N175" s="63"/>
      <c r="O175" s="62"/>
      <c r="P175" s="63"/>
      <c r="Q175" s="62"/>
      <c r="R175" s="64">
        <v>80.0</v>
      </c>
      <c r="S175" s="68">
        <v>22.0</v>
      </c>
      <c r="T175" s="64">
        <v>48.0</v>
      </c>
      <c r="U175" s="68">
        <v>24.0</v>
      </c>
      <c r="V175" s="64">
        <v>17.0</v>
      </c>
      <c r="W175" s="68">
        <f>SUM(W176:W180)</f>
        <v>111</v>
      </c>
      <c r="X175" s="64">
        <f>IFERROR(__xludf.DUMMYFUNCTION("+W175-R175"),31.0)</f>
        <v>31</v>
      </c>
      <c r="Y175" s="99"/>
    </row>
    <row r="176" ht="14.25" customHeight="1">
      <c r="B176" s="69"/>
      <c r="C176" s="91" t="s">
        <v>187</v>
      </c>
      <c r="D176" s="70"/>
      <c r="L176" s="61"/>
      <c r="M176" s="62"/>
      <c r="N176" s="63"/>
      <c r="O176" s="62"/>
      <c r="P176" s="63"/>
      <c r="Q176" s="62"/>
      <c r="R176" s="64"/>
      <c r="S176" s="68">
        <v>6.0</v>
      </c>
      <c r="T176" s="64">
        <v>27.0</v>
      </c>
      <c r="U176" s="68">
        <v>2.0</v>
      </c>
      <c r="V176" s="64">
        <v>12.0</v>
      </c>
      <c r="W176" s="68">
        <f>IFERROR(__xludf.DUMMYFUNCTION("+SUM(S176:V176)"),47.0)</f>
        <v>47</v>
      </c>
      <c r="X176" s="64"/>
      <c r="Y176" s="65"/>
    </row>
    <row r="177" ht="14.25" customHeight="1">
      <c r="B177" s="69"/>
      <c r="C177" s="91" t="s">
        <v>164</v>
      </c>
      <c r="D177" s="70"/>
      <c r="L177" s="61"/>
      <c r="M177" s="62"/>
      <c r="N177" s="63"/>
      <c r="O177" s="62"/>
      <c r="P177" s="63"/>
      <c r="Q177" s="62"/>
      <c r="R177" s="64"/>
      <c r="S177" s="68">
        <v>16.0</v>
      </c>
      <c r="T177" s="64">
        <v>21.0</v>
      </c>
      <c r="U177" s="68">
        <v>22.0</v>
      </c>
      <c r="V177" s="64">
        <v>5.0</v>
      </c>
      <c r="W177" s="68">
        <f>IFERROR(__xludf.DUMMYFUNCTION("+SUM(S177:V177)"),64.0)</f>
        <v>64</v>
      </c>
      <c r="X177" s="64"/>
      <c r="Y177" s="65"/>
    </row>
    <row r="178" ht="14.25" customHeight="1">
      <c r="B178" s="69"/>
      <c r="C178" s="91" t="s">
        <v>165</v>
      </c>
      <c r="D178" s="70"/>
      <c r="L178" s="61"/>
      <c r="M178" s="62"/>
      <c r="N178" s="63"/>
      <c r="O178" s="62"/>
      <c r="P178" s="63"/>
      <c r="Q178" s="62"/>
      <c r="R178" s="64"/>
      <c r="S178" s="68" t="s">
        <v>368</v>
      </c>
      <c r="T178" s="64" t="s">
        <v>368</v>
      </c>
      <c r="U178" s="64" t="s">
        <v>368</v>
      </c>
      <c r="V178" s="64" t="s">
        <v>368</v>
      </c>
      <c r="W178" s="68">
        <f>IFERROR(__xludf.DUMMYFUNCTION("+SUM(S178:V178)"),0.0)</f>
        <v>0</v>
      </c>
      <c r="X178" s="64"/>
      <c r="Y178" s="65"/>
    </row>
    <row r="179" ht="14.25" customHeight="1">
      <c r="B179" s="69"/>
      <c r="C179" s="91" t="s">
        <v>166</v>
      </c>
      <c r="D179" s="70"/>
      <c r="L179" s="61"/>
      <c r="M179" s="62"/>
      <c r="N179" s="63"/>
      <c r="O179" s="62"/>
      <c r="P179" s="63"/>
      <c r="Q179" s="62"/>
      <c r="R179" s="64"/>
      <c r="S179" s="68" t="s">
        <v>368</v>
      </c>
      <c r="T179" s="64" t="s">
        <v>368</v>
      </c>
      <c r="U179" s="64" t="s">
        <v>368</v>
      </c>
      <c r="V179" s="64" t="s">
        <v>368</v>
      </c>
      <c r="W179" s="68">
        <f>IFERROR(__xludf.DUMMYFUNCTION("+SUM(S179:V179)"),0.0)</f>
        <v>0</v>
      </c>
      <c r="X179" s="64"/>
      <c r="Y179" s="65"/>
    </row>
    <row r="180" ht="14.25" customHeight="1">
      <c r="B180" s="69"/>
      <c r="C180" s="91" t="s">
        <v>188</v>
      </c>
      <c r="D180" s="70"/>
      <c r="L180" s="61"/>
      <c r="M180" s="62"/>
      <c r="N180" s="63"/>
      <c r="O180" s="62"/>
      <c r="P180" s="63"/>
      <c r="Q180" s="62"/>
      <c r="R180" s="64"/>
      <c r="S180" s="68" t="s">
        <v>368</v>
      </c>
      <c r="T180" s="64" t="s">
        <v>368</v>
      </c>
      <c r="U180" s="64" t="s">
        <v>368</v>
      </c>
      <c r="V180" s="64" t="s">
        <v>368</v>
      </c>
      <c r="W180" s="68">
        <f>IFERROR(__xludf.DUMMYFUNCTION("+SUM(S180:V180)"),0.0)</f>
        <v>0</v>
      </c>
      <c r="X180" s="64"/>
      <c r="Y180" s="65"/>
    </row>
    <row r="181" ht="14.25" customHeight="1">
      <c r="B181" s="69">
        <v>2.17</v>
      </c>
      <c r="C181" s="91" t="s">
        <v>189</v>
      </c>
      <c r="D181" s="70"/>
      <c r="L181" s="61"/>
      <c r="M181" s="62"/>
      <c r="N181" s="64" t="s">
        <v>131</v>
      </c>
      <c r="O181" s="68" t="s">
        <v>131</v>
      </c>
      <c r="P181" s="64" t="s">
        <v>131</v>
      </c>
      <c r="Q181" s="68" t="s">
        <v>131</v>
      </c>
      <c r="R181" s="64" t="s">
        <v>131</v>
      </c>
      <c r="S181" s="68">
        <v>35.0</v>
      </c>
      <c r="T181" s="64">
        <v>54.0</v>
      </c>
      <c r="U181" s="68">
        <v>56.0</v>
      </c>
      <c r="V181" s="64">
        <v>99.0</v>
      </c>
      <c r="W181" s="68">
        <f t="shared" ref="W181:W182" si="4">SUM(S181:V181)</f>
        <v>244</v>
      </c>
      <c r="X181" s="64"/>
      <c r="Y181" s="65"/>
    </row>
    <row r="182" ht="14.25" customHeight="1">
      <c r="B182" s="69"/>
      <c r="C182" s="91" t="s">
        <v>190</v>
      </c>
      <c r="D182" s="70"/>
      <c r="L182" s="61"/>
      <c r="M182" s="62"/>
      <c r="N182" s="64"/>
      <c r="O182" s="68"/>
      <c r="P182" s="64"/>
      <c r="Q182" s="68"/>
      <c r="R182" s="64"/>
      <c r="S182" s="68"/>
      <c r="T182" s="64"/>
      <c r="U182" s="68">
        <v>1.0</v>
      </c>
      <c r="V182" s="64">
        <v>4.0</v>
      </c>
      <c r="W182" s="68">
        <f t="shared" si="4"/>
        <v>5</v>
      </c>
      <c r="X182" s="64"/>
      <c r="Y182" s="65"/>
    </row>
    <row r="183" ht="14.25" customHeight="1">
      <c r="B183" s="69"/>
      <c r="C183" s="91" t="s">
        <v>191</v>
      </c>
      <c r="D183" s="70"/>
      <c r="L183" s="61"/>
      <c r="M183" s="62"/>
      <c r="N183" s="64"/>
      <c r="O183" s="68"/>
      <c r="P183" s="64"/>
      <c r="Q183" s="68"/>
      <c r="R183" s="64"/>
      <c r="S183" s="68"/>
      <c r="T183" s="64"/>
      <c r="U183" s="68">
        <v>3.0</v>
      </c>
      <c r="V183" s="64">
        <v>12.0</v>
      </c>
      <c r="W183" s="68" t="s">
        <v>368</v>
      </c>
      <c r="X183" s="64"/>
      <c r="Y183" s="65"/>
    </row>
    <row r="184" ht="14.25" customHeight="1">
      <c r="B184" s="69"/>
      <c r="C184" s="91" t="s">
        <v>192</v>
      </c>
      <c r="D184" s="70"/>
      <c r="L184" s="61"/>
      <c r="M184" s="62"/>
      <c r="N184" s="64"/>
      <c r="O184" s="68"/>
      <c r="P184" s="64"/>
      <c r="Q184" s="68"/>
      <c r="R184" s="64"/>
      <c r="S184" s="68"/>
      <c r="T184" s="64"/>
      <c r="U184" s="68">
        <v>21.0</v>
      </c>
      <c r="V184" s="64">
        <v>29.0</v>
      </c>
      <c r="W184" s="68" t="s">
        <v>368</v>
      </c>
      <c r="X184" s="64"/>
      <c r="Y184" s="65"/>
    </row>
    <row r="185" ht="14.25" customHeight="1">
      <c r="B185" s="69"/>
      <c r="C185" s="91" t="s">
        <v>193</v>
      </c>
      <c r="D185" s="70"/>
      <c r="L185" s="61"/>
      <c r="M185" s="62"/>
      <c r="N185" s="64"/>
      <c r="O185" s="68"/>
      <c r="P185" s="64"/>
      <c r="Q185" s="68"/>
      <c r="R185" s="64"/>
      <c r="S185" s="68"/>
      <c r="T185" s="64"/>
      <c r="U185" s="68">
        <v>1.0</v>
      </c>
      <c r="V185" s="64">
        <v>9.0</v>
      </c>
      <c r="W185" s="68" t="s">
        <v>368</v>
      </c>
      <c r="X185" s="64"/>
      <c r="Y185" s="65"/>
    </row>
    <row r="186" ht="14.25" customHeight="1">
      <c r="B186" s="69"/>
      <c r="C186" s="91" t="s">
        <v>194</v>
      </c>
      <c r="D186" s="70"/>
      <c r="L186" s="61"/>
      <c r="M186" s="62"/>
      <c r="N186" s="64"/>
      <c r="O186" s="68"/>
      <c r="P186" s="64"/>
      <c r="Q186" s="68"/>
      <c r="R186" s="64"/>
      <c r="S186" s="68"/>
      <c r="T186" s="64"/>
      <c r="U186" s="68">
        <v>1.0</v>
      </c>
      <c r="V186" s="64">
        <v>0.0</v>
      </c>
      <c r="W186" s="68" t="s">
        <v>368</v>
      </c>
      <c r="X186" s="64"/>
      <c r="Y186" s="65"/>
    </row>
    <row r="187" ht="14.25" customHeight="1">
      <c r="B187" s="69"/>
      <c r="C187" s="91" t="s">
        <v>195</v>
      </c>
      <c r="D187" s="70"/>
      <c r="L187" s="61"/>
      <c r="M187" s="62"/>
      <c r="N187" s="64"/>
      <c r="O187" s="68"/>
      <c r="P187" s="64"/>
      <c r="Q187" s="68"/>
      <c r="R187" s="64"/>
      <c r="S187" s="68"/>
      <c r="T187" s="64"/>
      <c r="U187" s="68">
        <v>6.0</v>
      </c>
      <c r="V187" s="64">
        <v>21.0</v>
      </c>
      <c r="W187" s="68" t="s">
        <v>368</v>
      </c>
      <c r="X187" s="64"/>
      <c r="Y187" s="65"/>
    </row>
    <row r="188" ht="14.25" customHeight="1">
      <c r="B188" s="69"/>
      <c r="C188" s="91" t="s">
        <v>196</v>
      </c>
      <c r="D188" s="70"/>
      <c r="L188" s="61"/>
      <c r="M188" s="62"/>
      <c r="N188" s="64"/>
      <c r="O188" s="68"/>
      <c r="P188" s="64"/>
      <c r="Q188" s="68"/>
      <c r="R188" s="64"/>
      <c r="S188" s="68"/>
      <c r="T188" s="64"/>
      <c r="U188" s="68">
        <v>8.0</v>
      </c>
      <c r="V188" s="64">
        <v>12.0</v>
      </c>
      <c r="W188" s="68" t="s">
        <v>368</v>
      </c>
      <c r="X188" s="64"/>
      <c r="Y188" s="65"/>
    </row>
    <row r="189" ht="14.25" customHeight="1">
      <c r="B189" s="69"/>
      <c r="C189" s="91" t="s">
        <v>197</v>
      </c>
      <c r="D189" s="70"/>
      <c r="L189" s="61"/>
      <c r="M189" s="62"/>
      <c r="N189" s="64"/>
      <c r="O189" s="68"/>
      <c r="P189" s="64"/>
      <c r="Q189" s="68"/>
      <c r="R189" s="64"/>
      <c r="S189" s="68"/>
      <c r="T189" s="64"/>
      <c r="U189" s="68">
        <v>15.0</v>
      </c>
      <c r="V189" s="64">
        <v>12.0</v>
      </c>
      <c r="W189" s="68" t="s">
        <v>368</v>
      </c>
      <c r="X189" s="64"/>
      <c r="Y189" s="65"/>
    </row>
    <row r="190" ht="14.25" customHeight="1">
      <c r="B190" s="69"/>
      <c r="C190" s="91" t="s">
        <v>198</v>
      </c>
      <c r="D190" s="70"/>
      <c r="L190" s="61"/>
      <c r="M190" s="62"/>
      <c r="N190" s="64"/>
      <c r="O190" s="68"/>
      <c r="P190" s="64"/>
      <c r="Q190" s="68"/>
      <c r="R190" s="64"/>
      <c r="S190" s="68"/>
      <c r="T190" s="64"/>
      <c r="U190" s="68">
        <v>0.0</v>
      </c>
      <c r="V190" s="64">
        <v>0.0</v>
      </c>
      <c r="W190" s="68" t="s">
        <v>368</v>
      </c>
      <c r="X190" s="64"/>
      <c r="Y190" s="65"/>
    </row>
    <row r="191" ht="14.25" customHeight="1">
      <c r="B191" s="69"/>
      <c r="C191" s="70"/>
      <c r="D191" s="70"/>
      <c r="E191" s="77"/>
      <c r="L191" s="61"/>
      <c r="M191" s="62"/>
      <c r="N191" s="63"/>
      <c r="O191" s="62"/>
      <c r="P191" s="63"/>
      <c r="Q191" s="62"/>
      <c r="R191" s="63"/>
      <c r="S191" s="68"/>
      <c r="T191" s="64"/>
      <c r="U191" s="68"/>
      <c r="V191" s="64"/>
      <c r="W191" s="68"/>
      <c r="X191" s="64"/>
      <c r="Y191" s="65"/>
    </row>
    <row r="192" ht="14.25" customHeight="1">
      <c r="B192" s="148" t="s">
        <v>199</v>
      </c>
      <c r="C192" s="183"/>
      <c r="D192" s="70"/>
      <c r="E192" s="70"/>
      <c r="L192" s="61"/>
      <c r="M192" s="62"/>
      <c r="N192" s="63"/>
      <c r="O192" s="62"/>
      <c r="P192" s="63"/>
      <c r="Q192" s="62"/>
      <c r="R192" s="63"/>
      <c r="S192" s="68"/>
      <c r="T192" s="64"/>
      <c r="U192" s="68"/>
      <c r="V192" s="64"/>
      <c r="W192" s="68"/>
      <c r="X192" s="64"/>
      <c r="Y192" s="65"/>
    </row>
    <row r="193" ht="14.25" customHeight="1">
      <c r="B193" s="150" t="s">
        <v>200</v>
      </c>
      <c r="C193" s="179"/>
      <c r="D193" s="179"/>
      <c r="E193" s="179"/>
      <c r="F193" s="67"/>
      <c r="L193" s="61"/>
      <c r="M193" s="62"/>
      <c r="N193" s="63"/>
      <c r="O193" s="62"/>
      <c r="P193" s="63"/>
      <c r="Q193" s="62"/>
      <c r="R193" s="63"/>
      <c r="S193" s="68"/>
      <c r="T193" s="64"/>
      <c r="U193" s="68"/>
      <c r="V193" s="64"/>
      <c r="W193" s="68"/>
      <c r="X193" s="64"/>
      <c r="Y193" s="65"/>
    </row>
    <row r="194" ht="14.25" customHeight="1">
      <c r="B194" s="148" t="s">
        <v>28</v>
      </c>
      <c r="C194" s="70"/>
      <c r="D194" s="70"/>
      <c r="L194" s="61"/>
      <c r="M194" s="62"/>
      <c r="N194" s="63"/>
      <c r="O194" s="62"/>
      <c r="P194" s="63"/>
      <c r="Q194" s="62"/>
      <c r="R194" s="63"/>
      <c r="S194" s="68"/>
      <c r="T194" s="64"/>
      <c r="U194" s="68"/>
      <c r="V194" s="64"/>
      <c r="W194" s="68"/>
      <c r="X194" s="64"/>
      <c r="Y194" s="65"/>
    </row>
    <row r="195" ht="14.25" customHeight="1">
      <c r="A195" s="105"/>
      <c r="B195" s="96">
        <v>3.1</v>
      </c>
      <c r="C195" s="97" t="s">
        <v>201</v>
      </c>
      <c r="D195" s="97"/>
      <c r="E195" s="105"/>
      <c r="F195" s="105"/>
      <c r="G195" s="105"/>
      <c r="H195" s="105"/>
      <c r="I195" s="105"/>
      <c r="J195" s="105"/>
      <c r="K195" s="105"/>
      <c r="L195" s="107"/>
      <c r="M195" s="108"/>
      <c r="N195" s="169">
        <v>0.85</v>
      </c>
      <c r="O195" s="203">
        <v>0.85</v>
      </c>
      <c r="P195" s="169">
        <v>0.85</v>
      </c>
      <c r="Q195" s="203">
        <v>0.85</v>
      </c>
      <c r="R195" s="169">
        <v>0.85</v>
      </c>
      <c r="S195" s="203">
        <v>1.0</v>
      </c>
      <c r="T195" s="169">
        <v>1.0</v>
      </c>
      <c r="U195" s="203">
        <v>1.0</v>
      </c>
      <c r="V195" s="169">
        <v>1.0</v>
      </c>
      <c r="W195" s="203">
        <f>IFERROR(__xludf.DUMMYFUNCTION("+S195"),1.0)</f>
        <v>1</v>
      </c>
      <c r="X195" s="169">
        <f>IFERROR(__xludf.DUMMYFUNCTION("+W195-R195"),0.15000000000000002)</f>
        <v>0.15</v>
      </c>
      <c r="Y195" s="99" t="s">
        <v>725</v>
      </c>
      <c r="Z195" s="105"/>
      <c r="AA195" s="105"/>
      <c r="AB195" s="105"/>
      <c r="AC195" s="105"/>
      <c r="AD195" s="105"/>
      <c r="AE195" s="105"/>
    </row>
    <row r="196" ht="14.25" customHeight="1">
      <c r="B196" s="148" t="s">
        <v>49</v>
      </c>
      <c r="C196" s="70"/>
      <c r="D196" s="197"/>
      <c r="L196" s="61"/>
      <c r="M196" s="62"/>
      <c r="N196" s="63"/>
      <c r="O196" s="62"/>
      <c r="P196" s="63"/>
      <c r="Q196" s="62"/>
      <c r="R196" s="63"/>
      <c r="S196" s="68"/>
      <c r="T196" s="64"/>
      <c r="U196" s="68"/>
      <c r="V196" s="114"/>
      <c r="W196" s="68"/>
      <c r="X196" s="64"/>
      <c r="Y196" s="65"/>
    </row>
    <row r="197" ht="14.25" customHeight="1">
      <c r="A197" s="105"/>
      <c r="B197" s="96">
        <v>3.1</v>
      </c>
      <c r="C197" s="97" t="s">
        <v>202</v>
      </c>
      <c r="D197" s="97"/>
      <c r="E197" s="97"/>
      <c r="F197" s="105"/>
      <c r="G197" s="105"/>
      <c r="H197" s="105"/>
      <c r="I197" s="105"/>
      <c r="J197" s="105"/>
      <c r="K197" s="105"/>
      <c r="L197" s="107"/>
      <c r="M197" s="108"/>
      <c r="N197" s="139"/>
      <c r="O197" s="140"/>
      <c r="P197" s="139"/>
      <c r="Q197" s="140"/>
      <c r="R197" s="139">
        <v>50.0</v>
      </c>
      <c r="S197" s="140"/>
      <c r="T197" s="139"/>
      <c r="U197" s="140">
        <v>100.0</v>
      </c>
      <c r="V197" s="139"/>
      <c r="W197" s="140">
        <f>IFERROR(__xludf.DUMMYFUNCTION("+U197+V197"),100.0)</f>
        <v>100</v>
      </c>
      <c r="X197" s="139">
        <f>IFERROR(__xludf.DUMMYFUNCTION("+W197-R197"),50.0)</f>
        <v>50</v>
      </c>
      <c r="Y197" s="99" t="s">
        <v>726</v>
      </c>
      <c r="Z197" s="204"/>
      <c r="AA197" s="105"/>
      <c r="AB197" s="105"/>
      <c r="AC197" s="105"/>
      <c r="AD197" s="105"/>
      <c r="AE197" s="105"/>
    </row>
    <row r="198" ht="14.25" customHeight="1">
      <c r="A198" s="105"/>
      <c r="B198" s="96">
        <v>3.2</v>
      </c>
      <c r="C198" s="97" t="s">
        <v>203</v>
      </c>
      <c r="D198" s="97"/>
      <c r="E198" s="97"/>
      <c r="F198" s="105"/>
      <c r="G198" s="105"/>
      <c r="H198" s="105"/>
      <c r="I198" s="105"/>
      <c r="J198" s="105"/>
      <c r="K198" s="105"/>
      <c r="L198" s="107"/>
      <c r="M198" s="108"/>
      <c r="N198" s="139">
        <v>2.0</v>
      </c>
      <c r="O198" s="140">
        <v>2.0</v>
      </c>
      <c r="P198" s="139">
        <v>2.0</v>
      </c>
      <c r="Q198" s="140">
        <v>2.0</v>
      </c>
      <c r="R198" s="139">
        <v>2.0</v>
      </c>
      <c r="S198" s="140">
        <v>2.0</v>
      </c>
      <c r="T198" s="139">
        <v>2.0</v>
      </c>
      <c r="U198" s="140">
        <v>2.0</v>
      </c>
      <c r="V198" s="139">
        <v>2.0</v>
      </c>
      <c r="W198" s="140">
        <f>IFERROR(__xludf.DUMMYFUNCTION("+T198"),2.0)</f>
        <v>2</v>
      </c>
      <c r="X198" s="139">
        <f>IFERROR(__xludf.DUMMYFUNCTION("+W198-R198"),0.0)</f>
        <v>0</v>
      </c>
      <c r="Y198" s="99" t="s">
        <v>727</v>
      </c>
      <c r="Z198" s="204"/>
      <c r="AA198" s="105"/>
      <c r="AB198" s="105"/>
      <c r="AC198" s="105"/>
      <c r="AD198" s="105"/>
      <c r="AE198" s="105"/>
    </row>
    <row r="199" ht="14.25" customHeight="1">
      <c r="B199" s="174">
        <v>3.3</v>
      </c>
      <c r="C199" s="205" t="s">
        <v>205</v>
      </c>
      <c r="D199" s="197"/>
      <c r="L199" s="61"/>
      <c r="M199" s="62"/>
      <c r="N199" s="139"/>
      <c r="O199" s="140"/>
      <c r="P199" s="139"/>
      <c r="Q199" s="140"/>
      <c r="R199" s="98">
        <v>50000.0</v>
      </c>
      <c r="S199" s="140"/>
      <c r="T199" s="98">
        <v>2183.0</v>
      </c>
      <c r="U199" s="140">
        <v>29250.0</v>
      </c>
      <c r="V199" s="139">
        <v>24532.0</v>
      </c>
      <c r="W199" s="195">
        <f>IFERROR(__xludf.DUMMYFUNCTION("+U199"),29250.0)</f>
        <v>29250</v>
      </c>
      <c r="X199" s="98">
        <f>IFERROR(__xludf.DUMMYFUNCTION("+W199-R199"),-20750.0)</f>
        <v>-20750</v>
      </c>
      <c r="Y199" s="95" t="s">
        <v>728</v>
      </c>
      <c r="Z199" s="206"/>
    </row>
    <row r="200" ht="14.25" customHeight="1">
      <c r="A200" s="105"/>
      <c r="B200" s="96">
        <v>3.4</v>
      </c>
      <c r="C200" s="200" t="s">
        <v>206</v>
      </c>
      <c r="D200" s="186"/>
      <c r="E200" s="207"/>
      <c r="F200" s="105"/>
      <c r="G200" s="105"/>
      <c r="H200" s="105"/>
      <c r="I200" s="105"/>
      <c r="J200" s="105"/>
      <c r="K200" s="105"/>
      <c r="L200" s="107"/>
      <c r="M200" s="108"/>
      <c r="N200" s="139" t="s">
        <v>131</v>
      </c>
      <c r="O200" s="140" t="s">
        <v>131</v>
      </c>
      <c r="P200" s="139" t="s">
        <v>131</v>
      </c>
      <c r="Q200" s="140" t="s">
        <v>131</v>
      </c>
      <c r="R200" s="139" t="s">
        <v>131</v>
      </c>
      <c r="S200" s="140">
        <v>4.0</v>
      </c>
      <c r="T200" s="139">
        <v>7.0</v>
      </c>
      <c r="U200" s="140">
        <v>9.0</v>
      </c>
      <c r="V200" s="139">
        <v>13.0</v>
      </c>
      <c r="W200" s="140">
        <f>SUM(S200:V200)</f>
        <v>33</v>
      </c>
      <c r="X200" s="139"/>
      <c r="Y200" s="99" t="s">
        <v>729</v>
      </c>
      <c r="Z200" s="204"/>
      <c r="AA200" s="105"/>
      <c r="AB200" s="105"/>
      <c r="AC200" s="105"/>
      <c r="AD200" s="105"/>
      <c r="AE200" s="105"/>
    </row>
    <row r="201" ht="14.25" customHeight="1">
      <c r="B201" s="69">
        <v>3.5</v>
      </c>
      <c r="C201" s="70" t="s">
        <v>208</v>
      </c>
      <c r="D201" s="70"/>
      <c r="L201" s="61"/>
      <c r="M201" s="62"/>
      <c r="N201" s="83" t="s">
        <v>131</v>
      </c>
      <c r="O201" s="68" t="s">
        <v>131</v>
      </c>
      <c r="P201" s="64" t="s">
        <v>131</v>
      </c>
      <c r="Q201" s="68" t="s">
        <v>131</v>
      </c>
      <c r="R201" s="64" t="s">
        <v>131</v>
      </c>
      <c r="S201" s="119">
        <v>3326.0</v>
      </c>
      <c r="T201" s="64">
        <v>11396.0</v>
      </c>
      <c r="U201" s="68">
        <v>7373.0</v>
      </c>
      <c r="V201" s="64">
        <v>2776.0</v>
      </c>
      <c r="W201" s="119">
        <f>IFERROR(__xludf.DUMMYFUNCTION("+SUM(S201:V201)"),24871.0)</f>
        <v>24871</v>
      </c>
      <c r="X201" s="64"/>
      <c r="Y201" s="89"/>
      <c r="Z201" s="206"/>
    </row>
    <row r="202" ht="14.25" customHeight="1">
      <c r="B202" s="69">
        <v>3.6</v>
      </c>
      <c r="C202" s="70" t="s">
        <v>210</v>
      </c>
      <c r="D202" s="70"/>
      <c r="L202" s="61"/>
      <c r="M202" s="62"/>
      <c r="N202" s="83" t="s">
        <v>131</v>
      </c>
      <c r="O202" s="68" t="s">
        <v>131</v>
      </c>
      <c r="P202" s="64" t="s">
        <v>131</v>
      </c>
      <c r="Q202" s="68" t="s">
        <v>131</v>
      </c>
      <c r="R202" s="64" t="s">
        <v>131</v>
      </c>
      <c r="S202" s="68"/>
      <c r="T202" s="64"/>
      <c r="U202" s="68"/>
      <c r="V202" s="64"/>
      <c r="W202" s="68"/>
      <c r="X202" s="64"/>
      <c r="Y202" s="89"/>
      <c r="Z202" s="206"/>
    </row>
    <row r="203" ht="14.25" customHeight="1">
      <c r="B203" s="69"/>
      <c r="C203" s="70" t="s">
        <v>212</v>
      </c>
      <c r="D203" s="70"/>
      <c r="L203" s="61"/>
      <c r="M203" s="62"/>
      <c r="N203" s="64"/>
      <c r="O203" s="68"/>
      <c r="P203" s="64"/>
      <c r="Q203" s="68"/>
      <c r="R203" s="64"/>
      <c r="S203" s="68">
        <v>19.0</v>
      </c>
      <c r="T203" s="64">
        <v>0.0</v>
      </c>
      <c r="U203" s="68"/>
      <c r="V203" s="64"/>
      <c r="W203" s="68">
        <f>IFERROR(__xludf.DUMMYFUNCTION("+S203"),19.0)</f>
        <v>19</v>
      </c>
      <c r="X203" s="64"/>
      <c r="Y203" s="89" t="s">
        <v>730</v>
      </c>
      <c r="Z203" s="206"/>
    </row>
    <row r="204" ht="14.25" customHeight="1">
      <c r="B204" s="69"/>
      <c r="C204" s="91" t="s">
        <v>213</v>
      </c>
      <c r="D204" s="183"/>
      <c r="E204" s="70"/>
      <c r="L204" s="61"/>
      <c r="M204" s="62"/>
      <c r="N204" s="63"/>
      <c r="O204" s="62"/>
      <c r="P204" s="63"/>
      <c r="Q204" s="62"/>
      <c r="R204" s="63"/>
      <c r="S204" s="68"/>
      <c r="T204" s="64"/>
      <c r="U204" s="68"/>
      <c r="V204" s="64"/>
      <c r="W204" s="68" t="str">
        <f>IFERROR(__xludf.DUMMYFUNCTION("+V204"),"")</f>
        <v/>
      </c>
      <c r="X204" s="64"/>
      <c r="Y204" s="65"/>
    </row>
    <row r="205" ht="14.25" customHeight="1">
      <c r="B205" s="69"/>
      <c r="C205" s="70" t="s">
        <v>214</v>
      </c>
      <c r="D205" s="168"/>
      <c r="L205" s="61"/>
      <c r="M205" s="62"/>
      <c r="N205" s="63"/>
      <c r="O205" s="62"/>
      <c r="P205" s="63"/>
      <c r="Q205" s="62"/>
      <c r="R205" s="63"/>
      <c r="S205" s="68"/>
      <c r="T205" s="64"/>
      <c r="U205" s="68"/>
      <c r="V205" s="64"/>
      <c r="W205" s="68"/>
      <c r="X205" s="64"/>
      <c r="Y205" s="65"/>
    </row>
    <row r="206" ht="14.25" customHeight="1">
      <c r="B206" s="69"/>
      <c r="C206" s="70"/>
      <c r="D206" s="77"/>
      <c r="E206" s="77"/>
      <c r="L206" s="61"/>
      <c r="M206" s="62"/>
      <c r="N206" s="63"/>
      <c r="O206" s="62"/>
      <c r="P206" s="63"/>
      <c r="Q206" s="62"/>
      <c r="R206" s="63"/>
      <c r="S206" s="68"/>
      <c r="T206" s="64"/>
      <c r="U206" s="68"/>
      <c r="V206" s="64"/>
      <c r="W206" s="68"/>
      <c r="X206" s="64"/>
      <c r="Y206" s="65"/>
    </row>
    <row r="207" ht="14.25" customHeight="1">
      <c r="B207" s="148" t="s">
        <v>215</v>
      </c>
      <c r="C207" s="70"/>
      <c r="D207" s="70"/>
      <c r="E207" s="70"/>
      <c r="L207" s="61"/>
      <c r="M207" s="62"/>
      <c r="N207" s="63"/>
      <c r="O207" s="62"/>
      <c r="P207" s="63"/>
      <c r="Q207" s="62"/>
      <c r="R207" s="63"/>
      <c r="S207" s="68"/>
      <c r="T207" s="64"/>
      <c r="U207" s="68"/>
      <c r="V207" s="64"/>
      <c r="W207" s="68"/>
      <c r="X207" s="64"/>
      <c r="Y207" s="65"/>
    </row>
    <row r="208" ht="14.25" customHeight="1">
      <c r="B208" s="148" t="s">
        <v>216</v>
      </c>
      <c r="C208" s="70"/>
      <c r="D208" s="70"/>
      <c r="E208" s="70"/>
      <c r="L208" s="61"/>
      <c r="M208" s="62"/>
      <c r="N208" s="63"/>
      <c r="O208" s="62"/>
      <c r="P208" s="63"/>
      <c r="Q208" s="62"/>
      <c r="R208" s="63"/>
      <c r="S208" s="68"/>
      <c r="T208" s="64"/>
      <c r="U208" s="68"/>
      <c r="V208" s="64"/>
      <c r="W208" s="68"/>
      <c r="X208" s="64"/>
      <c r="Y208" s="65"/>
    </row>
    <row r="209" ht="14.25" customHeight="1">
      <c r="B209" s="148" t="s">
        <v>28</v>
      </c>
      <c r="C209" s="70"/>
      <c r="D209" s="70"/>
      <c r="E209" s="70"/>
      <c r="L209" s="61"/>
      <c r="M209" s="62"/>
      <c r="N209" s="63"/>
      <c r="O209" s="62"/>
      <c r="P209" s="63"/>
      <c r="Q209" s="62"/>
      <c r="R209" s="63"/>
      <c r="S209" s="68"/>
      <c r="T209" s="64"/>
      <c r="U209" s="68"/>
      <c r="V209" s="64"/>
      <c r="W209" s="68"/>
      <c r="X209" s="64"/>
      <c r="Y209" s="65"/>
    </row>
    <row r="210" ht="14.25" customHeight="1">
      <c r="B210" s="69">
        <v>4.1</v>
      </c>
      <c r="C210" s="91" t="s">
        <v>217</v>
      </c>
      <c r="D210" s="70"/>
      <c r="E210" s="70"/>
      <c r="L210" s="61"/>
      <c r="M210" s="62"/>
      <c r="N210" s="63"/>
      <c r="O210" s="62"/>
      <c r="P210" s="63"/>
      <c r="Q210" s="62"/>
      <c r="R210" s="63"/>
      <c r="S210" s="68"/>
      <c r="T210" s="64"/>
      <c r="U210" s="68"/>
      <c r="V210" s="64"/>
      <c r="W210" s="68"/>
      <c r="X210" s="64"/>
      <c r="Y210" s="65"/>
    </row>
    <row r="211" ht="14.25" customHeight="1">
      <c r="B211" s="69"/>
      <c r="C211" s="91" t="s">
        <v>218</v>
      </c>
      <c r="D211" s="70"/>
      <c r="E211" s="70"/>
      <c r="L211" s="61"/>
      <c r="M211" s="62"/>
      <c r="N211" s="114"/>
      <c r="O211" s="115"/>
      <c r="P211" s="114"/>
      <c r="Q211" s="115"/>
      <c r="R211" s="114">
        <v>0.2</v>
      </c>
      <c r="S211" s="145"/>
      <c r="T211" s="92">
        <v>0.2876</v>
      </c>
      <c r="U211" s="145">
        <v>0.3053</v>
      </c>
      <c r="V211" s="92">
        <v>0.3319</v>
      </c>
      <c r="W211" s="145">
        <f>IFERROR(__xludf.DUMMYFUNCTION("+V211"),0.3319)</f>
        <v>0.3319</v>
      </c>
      <c r="X211" s="92">
        <f>IFERROR(__xludf.DUMMYFUNCTION("+W211-R211"),0.13189999999999996)</f>
        <v>0.1319</v>
      </c>
      <c r="Y211" s="99"/>
    </row>
    <row r="212" ht="14.25" hidden="1" customHeight="1">
      <c r="B212" s="69"/>
      <c r="C212" s="91" t="s">
        <v>219</v>
      </c>
      <c r="D212" s="70"/>
      <c r="E212" s="70"/>
      <c r="L212" s="61"/>
      <c r="M212" s="62"/>
      <c r="N212" s="114"/>
      <c r="O212" s="115"/>
      <c r="P212" s="114"/>
      <c r="Q212" s="115"/>
      <c r="R212" s="114"/>
      <c r="S212" s="145"/>
      <c r="T212" s="92"/>
      <c r="U212" s="68"/>
      <c r="V212" s="92"/>
      <c r="W212" s="145"/>
      <c r="X212" s="92"/>
      <c r="Y212" s="65"/>
    </row>
    <row r="213" ht="14.25" hidden="1" customHeight="1">
      <c r="B213" s="69"/>
      <c r="C213" s="91" t="s">
        <v>220</v>
      </c>
      <c r="D213" s="77"/>
      <c r="E213" s="70"/>
      <c r="L213" s="61"/>
      <c r="M213" s="62"/>
      <c r="N213" s="114"/>
      <c r="O213" s="115"/>
      <c r="P213" s="114"/>
      <c r="Q213" s="115"/>
      <c r="R213" s="114">
        <v>0.2</v>
      </c>
      <c r="S213" s="145"/>
      <c r="T213" s="92">
        <v>0.4667</v>
      </c>
      <c r="U213" s="145"/>
      <c r="V213" s="92"/>
      <c r="W213" s="145">
        <f>IFERROR(__xludf.DUMMYFUNCTION("+T213"),0.4667)</f>
        <v>0.4667</v>
      </c>
      <c r="X213" s="92">
        <f>IFERROR(__xludf.DUMMYFUNCTION("+W213-R213"),0.2667)</f>
        <v>0.2667</v>
      </c>
      <c r="Y213" s="65"/>
    </row>
    <row r="214" ht="14.25" hidden="1" customHeight="1">
      <c r="B214" s="69"/>
      <c r="C214" s="70" t="s">
        <v>221</v>
      </c>
      <c r="D214" s="144"/>
      <c r="E214" s="144"/>
      <c r="L214" s="61"/>
      <c r="M214" s="62"/>
      <c r="N214" s="114"/>
      <c r="O214" s="115"/>
      <c r="P214" s="114"/>
      <c r="Q214" s="115"/>
      <c r="R214" s="114"/>
      <c r="S214" s="145"/>
      <c r="T214" s="92"/>
      <c r="U214" s="68"/>
      <c r="V214" s="92"/>
      <c r="W214" s="145"/>
      <c r="X214" s="92"/>
      <c r="Y214" s="65"/>
    </row>
    <row r="215" ht="14.25" hidden="1" customHeight="1">
      <c r="B215" s="69"/>
      <c r="C215" s="91" t="s">
        <v>222</v>
      </c>
      <c r="D215" s="144"/>
      <c r="E215" s="144"/>
      <c r="L215" s="61"/>
      <c r="M215" s="62"/>
      <c r="N215" s="114"/>
      <c r="O215" s="115"/>
      <c r="P215" s="114"/>
      <c r="Q215" s="115"/>
      <c r="R215" s="114"/>
      <c r="S215" s="145"/>
      <c r="T215" s="92"/>
      <c r="U215" s="68"/>
      <c r="V215" s="92"/>
      <c r="W215" s="145"/>
      <c r="X215" s="92"/>
      <c r="Y215" s="65"/>
    </row>
    <row r="216" ht="14.25" hidden="1" customHeight="1">
      <c r="B216" s="69"/>
      <c r="C216" s="91" t="s">
        <v>223</v>
      </c>
      <c r="D216" s="70"/>
      <c r="L216" s="61"/>
      <c r="M216" s="62"/>
      <c r="N216" s="114"/>
      <c r="O216" s="115"/>
      <c r="P216" s="114"/>
      <c r="Q216" s="115"/>
      <c r="R216" s="114">
        <v>0.2</v>
      </c>
      <c r="S216" s="145"/>
      <c r="T216" s="92">
        <v>0.4434</v>
      </c>
      <c r="U216" s="145"/>
      <c r="V216" s="92"/>
      <c r="W216" s="145">
        <f>IFERROR(__xludf.DUMMYFUNCTION("+T216"),0.4434)</f>
        <v>0.4434</v>
      </c>
      <c r="X216" s="92">
        <f>IFERROR(__xludf.DUMMYFUNCTION("+W216-R216"),0.2434)</f>
        <v>0.2434</v>
      </c>
      <c r="Y216" s="99"/>
    </row>
    <row r="217" ht="14.25" customHeight="1">
      <c r="B217" s="148" t="s">
        <v>49</v>
      </c>
      <c r="C217" s="70"/>
      <c r="D217" s="77"/>
      <c r="E217" s="70"/>
      <c r="L217" s="61"/>
      <c r="M217" s="62"/>
      <c r="N217" s="114"/>
      <c r="O217" s="115"/>
      <c r="P217" s="114"/>
      <c r="Q217" s="115"/>
      <c r="R217" s="114"/>
      <c r="S217" s="68"/>
      <c r="T217" s="64"/>
      <c r="U217" s="68"/>
      <c r="V217" s="64"/>
      <c r="W217" s="68"/>
      <c r="X217" s="64"/>
      <c r="Y217" s="65"/>
    </row>
    <row r="218" ht="14.25" customHeight="1">
      <c r="B218" s="69">
        <v>4.1</v>
      </c>
      <c r="C218" s="91" t="s">
        <v>224</v>
      </c>
      <c r="D218" s="70"/>
      <c r="E218" s="70"/>
      <c r="L218" s="61"/>
      <c r="M218" s="62"/>
      <c r="N218" s="114"/>
      <c r="O218" s="115"/>
      <c r="P218" s="114"/>
      <c r="Q218" s="115"/>
      <c r="R218" s="114"/>
      <c r="S218" s="68"/>
      <c r="T218" s="64"/>
      <c r="U218" s="68"/>
      <c r="V218" s="64"/>
      <c r="W218" s="68"/>
      <c r="X218" s="64"/>
      <c r="Y218" s="65"/>
    </row>
    <row r="219" ht="14.25" customHeight="1">
      <c r="A219" s="105"/>
      <c r="B219" s="96"/>
      <c r="C219" s="200" t="s">
        <v>225</v>
      </c>
      <c r="D219" s="97"/>
      <c r="E219" s="97"/>
      <c r="F219" s="105"/>
      <c r="G219" s="105"/>
      <c r="H219" s="105"/>
      <c r="I219" s="105"/>
      <c r="J219" s="105"/>
      <c r="K219" s="105"/>
      <c r="L219" s="107"/>
      <c r="M219" s="108"/>
      <c r="N219" s="139">
        <v>3.0</v>
      </c>
      <c r="O219" s="140">
        <v>4.0</v>
      </c>
      <c r="P219" s="139">
        <v>4.0</v>
      </c>
      <c r="Q219" s="140">
        <v>4.0</v>
      </c>
      <c r="R219" s="139">
        <v>15.0</v>
      </c>
      <c r="S219" s="140"/>
      <c r="T219" s="139">
        <v>8.0</v>
      </c>
      <c r="U219" s="140">
        <v>4.0</v>
      </c>
      <c r="V219" s="139">
        <v>6.0</v>
      </c>
      <c r="W219" s="140">
        <f t="shared" ref="W219:W220" si="5">SUM(S219:V219)</f>
        <v>18</v>
      </c>
      <c r="X219" s="139">
        <f>IFERROR(__xludf.DUMMYFUNCTION("+W219-R219"),3.0)</f>
        <v>3</v>
      </c>
      <c r="Y219" s="99" t="s">
        <v>731</v>
      </c>
      <c r="Z219" s="105"/>
      <c r="AA219" s="105"/>
      <c r="AB219" s="105"/>
      <c r="AC219" s="105"/>
      <c r="AD219" s="105"/>
      <c r="AE219" s="105"/>
    </row>
    <row r="220" ht="14.25" customHeight="1">
      <c r="B220" s="69"/>
      <c r="C220" s="91" t="s">
        <v>226</v>
      </c>
      <c r="D220" s="70"/>
      <c r="E220" s="70"/>
      <c r="L220" s="61"/>
      <c r="M220" s="62"/>
      <c r="N220" s="64">
        <v>1.0</v>
      </c>
      <c r="O220" s="68">
        <v>1.0</v>
      </c>
      <c r="P220" s="64">
        <v>1.0</v>
      </c>
      <c r="Q220" s="68">
        <v>1.0</v>
      </c>
      <c r="R220" s="64">
        <v>4.0</v>
      </c>
      <c r="S220" s="68"/>
      <c r="T220" s="64">
        <v>3.0</v>
      </c>
      <c r="U220" s="68"/>
      <c r="V220" s="64">
        <v>2.0</v>
      </c>
      <c r="W220" s="68">
        <f t="shared" si="5"/>
        <v>5</v>
      </c>
      <c r="X220" s="64">
        <f>IFERROR(__xludf.DUMMYFUNCTION("+W220-R220"),1.0)</f>
        <v>1</v>
      </c>
      <c r="Y220" s="99" t="s">
        <v>732</v>
      </c>
    </row>
    <row r="221" ht="14.25" customHeight="1">
      <c r="B221" s="69"/>
      <c r="C221" s="91" t="s">
        <v>227</v>
      </c>
      <c r="D221" s="70"/>
      <c r="E221" s="70"/>
      <c r="L221" s="61"/>
      <c r="M221" s="62"/>
      <c r="N221" s="64"/>
      <c r="O221" s="68"/>
      <c r="P221" s="64"/>
      <c r="Q221" s="68"/>
      <c r="R221" s="64"/>
      <c r="S221" s="68"/>
      <c r="T221" s="64"/>
      <c r="U221" s="68"/>
      <c r="V221" s="64"/>
      <c r="W221" s="68"/>
      <c r="X221" s="64"/>
      <c r="Y221" s="65"/>
    </row>
    <row r="222" ht="14.25" customHeight="1">
      <c r="B222" s="69"/>
      <c r="C222" s="91" t="s">
        <v>228</v>
      </c>
      <c r="D222" s="70"/>
      <c r="E222" s="70"/>
      <c r="L222" s="61"/>
      <c r="M222" s="62"/>
      <c r="N222" s="64"/>
      <c r="O222" s="68"/>
      <c r="P222" s="64"/>
      <c r="Q222" s="68"/>
      <c r="R222" s="64"/>
      <c r="S222" s="68"/>
      <c r="T222" s="64"/>
      <c r="U222" s="68">
        <v>3.0</v>
      </c>
      <c r="V222" s="64"/>
      <c r="W222" s="68"/>
      <c r="X222" s="64"/>
      <c r="Y222" s="65"/>
    </row>
    <row r="223" ht="14.25" customHeight="1">
      <c r="B223" s="69"/>
      <c r="C223" s="91" t="s">
        <v>229</v>
      </c>
      <c r="D223" s="70"/>
      <c r="E223" s="70"/>
      <c r="L223" s="61"/>
      <c r="M223" s="62"/>
      <c r="N223" s="64"/>
      <c r="O223" s="68"/>
      <c r="P223" s="64"/>
      <c r="Q223" s="68"/>
      <c r="R223" s="64"/>
      <c r="S223" s="68"/>
      <c r="T223" s="64"/>
      <c r="U223" s="68"/>
      <c r="V223" s="64"/>
      <c r="W223" s="68"/>
      <c r="X223" s="64"/>
      <c r="Y223" s="65"/>
    </row>
    <row r="224" ht="14.25" customHeight="1">
      <c r="B224" s="69"/>
      <c r="C224" s="91" t="s">
        <v>230</v>
      </c>
      <c r="D224" s="70"/>
      <c r="E224" s="70"/>
      <c r="L224" s="61"/>
      <c r="M224" s="62"/>
      <c r="N224" s="64"/>
      <c r="O224" s="68"/>
      <c r="P224" s="64"/>
      <c r="Q224" s="68">
        <v>1.0</v>
      </c>
      <c r="R224" s="64">
        <v>1.0</v>
      </c>
      <c r="S224" s="68"/>
      <c r="T224" s="64">
        <v>3.0</v>
      </c>
      <c r="U224" s="68"/>
      <c r="V224" s="64">
        <v>4.0</v>
      </c>
      <c r="W224" s="68">
        <f>IFERROR(__xludf.DUMMYFUNCTION("+V224"),4.0)</f>
        <v>4</v>
      </c>
      <c r="X224" s="64">
        <f>IFERROR(__xludf.DUMMYFUNCTION("+W224-R224"),3.0)</f>
        <v>3</v>
      </c>
      <c r="Y224" s="65"/>
    </row>
    <row r="225" ht="14.25" customHeight="1">
      <c r="B225" s="69"/>
      <c r="C225" s="91" t="s">
        <v>231</v>
      </c>
      <c r="D225" s="70"/>
      <c r="E225" s="70"/>
      <c r="L225" s="61"/>
      <c r="M225" s="62"/>
      <c r="N225" s="64">
        <v>2.0</v>
      </c>
      <c r="O225" s="68">
        <v>2.0</v>
      </c>
      <c r="P225" s="64">
        <v>4.0</v>
      </c>
      <c r="Q225" s="68">
        <v>3.0</v>
      </c>
      <c r="R225" s="64">
        <v>11.0</v>
      </c>
      <c r="S225" s="68">
        <v>3.0</v>
      </c>
      <c r="T225" s="64">
        <v>4.0</v>
      </c>
      <c r="U225" s="68">
        <v>3.0</v>
      </c>
      <c r="V225" s="64">
        <v>4.0</v>
      </c>
      <c r="W225" s="68">
        <f>SUM(S225:V225)</f>
        <v>14</v>
      </c>
      <c r="X225" s="64">
        <f>IFERROR(__xludf.DUMMYFUNCTION("+W225-R225"),3.0)</f>
        <v>3</v>
      </c>
      <c r="Y225" s="65"/>
    </row>
    <row r="226" ht="14.25" customHeight="1">
      <c r="B226" s="69"/>
      <c r="C226" s="91" t="s">
        <v>232</v>
      </c>
      <c r="D226" s="144"/>
      <c r="E226" s="144"/>
      <c r="L226" s="61"/>
      <c r="M226" s="62"/>
      <c r="N226" s="64"/>
      <c r="O226" s="68"/>
      <c r="P226" s="64"/>
      <c r="Q226" s="68"/>
      <c r="R226" s="208"/>
      <c r="S226" s="209"/>
      <c r="T226" s="64"/>
      <c r="U226" s="68"/>
      <c r="V226" s="64"/>
      <c r="W226" s="209"/>
      <c r="X226" s="64"/>
      <c r="Y226" s="65"/>
    </row>
    <row r="227" ht="14.25" customHeight="1">
      <c r="B227" s="69"/>
      <c r="C227" s="91" t="s">
        <v>233</v>
      </c>
      <c r="D227" s="70"/>
      <c r="L227" s="61"/>
      <c r="M227" s="62"/>
      <c r="N227" s="64"/>
      <c r="O227" s="68"/>
      <c r="P227" s="64"/>
      <c r="Q227" s="68"/>
      <c r="R227" s="208"/>
      <c r="S227" s="209"/>
      <c r="T227" s="64"/>
      <c r="U227" s="68"/>
      <c r="V227" s="64"/>
      <c r="W227" s="209"/>
      <c r="X227" s="64"/>
      <c r="Y227" s="65"/>
    </row>
    <row r="228" ht="14.25" customHeight="1">
      <c r="B228" s="69"/>
      <c r="C228" s="91" t="s">
        <v>234</v>
      </c>
      <c r="D228" s="70"/>
      <c r="E228" s="70"/>
      <c r="L228" s="61"/>
      <c r="M228" s="62"/>
      <c r="N228" s="64"/>
      <c r="O228" s="68"/>
      <c r="P228" s="64"/>
      <c r="Q228" s="68"/>
      <c r="R228" s="208"/>
      <c r="S228" s="209"/>
      <c r="T228" s="64"/>
      <c r="U228" s="68"/>
      <c r="V228" s="64"/>
      <c r="W228" s="209"/>
      <c r="X228" s="64"/>
      <c r="Y228" s="65"/>
    </row>
    <row r="229" ht="14.25" customHeight="1">
      <c r="B229" s="69"/>
      <c r="C229" s="91" t="s">
        <v>236</v>
      </c>
      <c r="D229" s="70"/>
      <c r="E229" s="70"/>
      <c r="L229" s="61"/>
      <c r="M229" s="62"/>
      <c r="N229" s="64"/>
      <c r="O229" s="209"/>
      <c r="P229" s="64"/>
      <c r="Q229" s="68"/>
      <c r="R229" s="64"/>
      <c r="S229" s="209"/>
      <c r="T229" s="64"/>
      <c r="U229" s="68"/>
      <c r="V229" s="64"/>
      <c r="W229" s="209"/>
      <c r="X229" s="208">
        <f>IFERROR(__xludf.DUMMYFUNCTION("+W229-R229"),0.0)</f>
        <v>0</v>
      </c>
      <c r="Y229" s="65"/>
    </row>
    <row r="230" ht="14.25" customHeight="1">
      <c r="B230" s="69"/>
      <c r="C230" s="91" t="s">
        <v>237</v>
      </c>
      <c r="D230" s="70"/>
      <c r="E230" s="70"/>
      <c r="L230" s="61"/>
      <c r="M230" s="62"/>
      <c r="N230" s="64"/>
      <c r="O230" s="68"/>
      <c r="P230" s="64"/>
      <c r="Q230" s="68"/>
      <c r="R230" s="208"/>
      <c r="S230" s="209"/>
      <c r="T230" s="64"/>
      <c r="U230" s="68"/>
      <c r="V230" s="64"/>
      <c r="W230" s="209"/>
      <c r="X230" s="64"/>
      <c r="Y230" s="65"/>
    </row>
    <row r="231" ht="14.25" customHeight="1">
      <c r="B231" s="69"/>
      <c r="C231" s="91" t="s">
        <v>238</v>
      </c>
      <c r="D231" s="70"/>
      <c r="E231" s="70"/>
      <c r="L231" s="61"/>
      <c r="M231" s="62"/>
      <c r="N231" s="64"/>
      <c r="O231" s="68"/>
      <c r="P231" s="64"/>
      <c r="Q231" s="68">
        <v>3.0</v>
      </c>
      <c r="R231" s="208" t="s">
        <v>733</v>
      </c>
      <c r="S231" s="209"/>
      <c r="T231" s="64"/>
      <c r="U231" s="68"/>
      <c r="V231" s="64">
        <v>3.0</v>
      </c>
      <c r="W231" s="68">
        <f>IFERROR(__xludf.DUMMYFUNCTION("+V231"),3.0)</f>
        <v>3</v>
      </c>
      <c r="X231" s="208">
        <f>IFERROR(__xludf.DUMMYFUNCTION("+W231-R231"),0.0)</f>
        <v>0</v>
      </c>
      <c r="Y231" s="65"/>
    </row>
    <row r="232" ht="14.25" customHeight="1">
      <c r="B232" s="69"/>
      <c r="C232" s="91" t="s">
        <v>239</v>
      </c>
      <c r="D232" s="70"/>
      <c r="E232" s="70"/>
      <c r="L232" s="61"/>
      <c r="M232" s="62"/>
      <c r="N232" s="64"/>
      <c r="O232" s="68"/>
      <c r="P232" s="64"/>
      <c r="Q232" s="68"/>
      <c r="R232" s="208"/>
      <c r="S232" s="209"/>
      <c r="T232" s="64"/>
      <c r="U232" s="68"/>
      <c r="V232" s="64"/>
      <c r="W232" s="209"/>
      <c r="X232" s="64"/>
      <c r="Y232" s="65"/>
    </row>
    <row r="233" ht="14.25" customHeight="1">
      <c r="B233" s="69"/>
      <c r="C233" s="91" t="s">
        <v>240</v>
      </c>
      <c r="D233" s="70"/>
      <c r="E233" s="70"/>
      <c r="L233" s="61"/>
      <c r="M233" s="62"/>
      <c r="N233" s="64"/>
      <c r="O233" s="68"/>
      <c r="P233" s="64"/>
      <c r="Q233" s="68"/>
      <c r="R233" s="208"/>
      <c r="S233" s="209"/>
      <c r="T233" s="64"/>
      <c r="U233" s="68"/>
      <c r="V233" s="64"/>
      <c r="W233" s="209"/>
      <c r="X233" s="64"/>
      <c r="Y233" s="65"/>
    </row>
    <row r="234" ht="14.25" customHeight="1">
      <c r="B234" s="69">
        <v>4.2</v>
      </c>
      <c r="C234" s="91" t="s">
        <v>241</v>
      </c>
      <c r="D234" s="70"/>
      <c r="E234" s="70"/>
      <c r="L234" s="61"/>
      <c r="M234" s="62"/>
      <c r="N234" s="64"/>
      <c r="O234" s="68"/>
      <c r="P234" s="64"/>
      <c r="Q234" s="68"/>
      <c r="R234" s="64"/>
      <c r="S234" s="68"/>
      <c r="T234" s="64"/>
      <c r="U234" s="68"/>
      <c r="V234" s="64"/>
      <c r="W234" s="68"/>
      <c r="X234" s="64"/>
      <c r="Y234" s="65"/>
    </row>
    <row r="235" ht="14.25" customHeight="1">
      <c r="B235" s="69"/>
      <c r="C235" s="91" t="s">
        <v>242</v>
      </c>
      <c r="D235" s="70"/>
      <c r="E235" s="70"/>
      <c r="L235" s="61"/>
      <c r="M235" s="62"/>
      <c r="N235" s="64" t="s">
        <v>131</v>
      </c>
      <c r="O235" s="68" t="s">
        <v>131</v>
      </c>
      <c r="P235" s="64" t="s">
        <v>131</v>
      </c>
      <c r="Q235" s="68" t="s">
        <v>131</v>
      </c>
      <c r="R235" s="64" t="s">
        <v>131</v>
      </c>
      <c r="S235" s="68"/>
      <c r="T235" s="64"/>
      <c r="U235" s="68"/>
      <c r="V235" s="64"/>
      <c r="W235" s="68">
        <f>IFERROR(__xludf.DUMMYFUNCTION("+SUM(S235:V235)"),0.0)</f>
        <v>0</v>
      </c>
      <c r="X235" s="64" t="str">
        <f>IFERROR(__xludf.DUMMYFUNCTION("+W235-R235"),"#VALUE!")</f>
        <v>#VALUE!</v>
      </c>
      <c r="Y235" s="65"/>
    </row>
    <row r="236" ht="14.25" customHeight="1">
      <c r="B236" s="69"/>
      <c r="C236" s="91" t="s">
        <v>243</v>
      </c>
      <c r="D236" s="70"/>
      <c r="E236" s="70"/>
      <c r="L236" s="61"/>
      <c r="M236" s="62"/>
      <c r="N236" s="64">
        <v>60.0</v>
      </c>
      <c r="O236" s="68">
        <v>15.0</v>
      </c>
      <c r="P236" s="64">
        <v>60.0</v>
      </c>
      <c r="Q236" s="68">
        <v>15.0</v>
      </c>
      <c r="R236" s="64">
        <v>150.0</v>
      </c>
      <c r="S236" s="68">
        <v>104.0</v>
      </c>
      <c r="T236" s="64">
        <v>50.0</v>
      </c>
      <c r="U236" s="68">
        <v>312.0</v>
      </c>
      <c r="V236" s="64"/>
      <c r="W236" s="68">
        <f>IFERROR(__xludf.DUMMYFUNCTION("+SUM(S236:V236)"),466.0)</f>
        <v>466</v>
      </c>
      <c r="X236" s="64">
        <f>IFERROR(__xludf.DUMMYFUNCTION("+W236-R236"),316.0)</f>
        <v>316</v>
      </c>
      <c r="Y236" s="65"/>
    </row>
    <row r="237" ht="14.25" customHeight="1">
      <c r="B237" s="69">
        <v>4.3</v>
      </c>
      <c r="C237" s="91" t="s">
        <v>244</v>
      </c>
      <c r="D237" s="144"/>
      <c r="E237" s="144"/>
      <c r="L237" s="61"/>
      <c r="M237" s="62"/>
      <c r="N237" s="83"/>
      <c r="O237" s="209"/>
      <c r="P237" s="208"/>
      <c r="Q237" s="209"/>
      <c r="R237" s="208"/>
      <c r="S237" s="209"/>
      <c r="T237" s="64"/>
      <c r="U237" s="68"/>
      <c r="V237" s="64"/>
      <c r="W237" s="209"/>
      <c r="X237" s="64"/>
      <c r="Y237" s="65"/>
    </row>
    <row r="238" ht="14.25" customHeight="1">
      <c r="B238" s="69"/>
      <c r="C238" s="91" t="s">
        <v>245</v>
      </c>
      <c r="D238" s="70"/>
      <c r="L238" s="61"/>
      <c r="M238" s="62"/>
      <c r="N238" s="83"/>
      <c r="O238" s="119"/>
      <c r="P238" s="83"/>
      <c r="Q238" s="119"/>
      <c r="R238" s="83"/>
      <c r="S238" s="119"/>
      <c r="T238" s="64"/>
      <c r="U238" s="68"/>
      <c r="V238" s="64"/>
      <c r="W238" s="119">
        <f t="shared" ref="W238:W240" si="6">SUM(S238:V238)</f>
        <v>0</v>
      </c>
      <c r="X238" s="83">
        <f>IFERROR(__xludf.DUMMYFUNCTION("+W238-R238"),0.0)</f>
        <v>0</v>
      </c>
      <c r="Y238" s="95" t="s">
        <v>734</v>
      </c>
    </row>
    <row r="239" ht="14.25" customHeight="1">
      <c r="B239" s="69"/>
      <c r="C239" s="91" t="s">
        <v>247</v>
      </c>
      <c r="D239" s="70"/>
      <c r="E239" s="70"/>
      <c r="L239" s="61"/>
      <c r="M239" s="62"/>
      <c r="N239" s="83"/>
      <c r="O239" s="119">
        <v>15.0</v>
      </c>
      <c r="P239" s="83">
        <v>5.0</v>
      </c>
      <c r="Q239" s="119">
        <v>5.0</v>
      </c>
      <c r="R239" s="83">
        <v>25.0</v>
      </c>
      <c r="S239" s="119"/>
      <c r="T239" s="64">
        <v>15.0</v>
      </c>
      <c r="U239" s="68">
        <v>7.0</v>
      </c>
      <c r="V239" s="64">
        <v>5.0</v>
      </c>
      <c r="W239" s="119">
        <f t="shared" si="6"/>
        <v>27</v>
      </c>
      <c r="X239" s="83">
        <f>IFERROR(__xludf.DUMMYFUNCTION("+W239-R239"),2.0)</f>
        <v>2</v>
      </c>
      <c r="Y239" s="95"/>
    </row>
    <row r="240" ht="14.25" customHeight="1">
      <c r="A240" s="105"/>
      <c r="B240" s="96"/>
      <c r="C240" s="200" t="s">
        <v>248</v>
      </c>
      <c r="D240" s="97"/>
      <c r="E240" s="97"/>
      <c r="F240" s="105"/>
      <c r="G240" s="105"/>
      <c r="H240" s="105"/>
      <c r="I240" s="105"/>
      <c r="J240" s="105"/>
      <c r="K240" s="105"/>
      <c r="L240" s="107"/>
      <c r="M240" s="108"/>
      <c r="N240" s="98"/>
      <c r="O240" s="195">
        <v>50.0</v>
      </c>
      <c r="P240" s="98">
        <v>75.0</v>
      </c>
      <c r="Q240" s="195">
        <v>75.0</v>
      </c>
      <c r="R240" s="98">
        <v>200.0</v>
      </c>
      <c r="S240" s="195"/>
      <c r="T240" s="139"/>
      <c r="U240" s="140">
        <v>0.0</v>
      </c>
      <c r="V240" s="139">
        <v>360.0</v>
      </c>
      <c r="W240" s="195">
        <f t="shared" si="6"/>
        <v>360</v>
      </c>
      <c r="X240" s="98">
        <f>IFERROR(__xludf.DUMMYFUNCTION("+W240-R240"),160.0)</f>
        <v>160</v>
      </c>
      <c r="Y240" s="99"/>
      <c r="Z240" s="105"/>
      <c r="AA240" s="105"/>
      <c r="AB240" s="105"/>
      <c r="AC240" s="105"/>
      <c r="AD240" s="105"/>
      <c r="AE240" s="105"/>
    </row>
    <row r="241" ht="14.25" customHeight="1">
      <c r="B241" s="69">
        <v>4.4</v>
      </c>
      <c r="C241" s="91" t="s">
        <v>249</v>
      </c>
      <c r="D241" s="70"/>
      <c r="E241" s="70"/>
      <c r="L241" s="61"/>
      <c r="M241" s="62"/>
      <c r="N241" s="114">
        <v>1.0</v>
      </c>
      <c r="O241" s="115">
        <v>1.0</v>
      </c>
      <c r="P241" s="114">
        <v>1.0</v>
      </c>
      <c r="Q241" s="115">
        <v>1.0</v>
      </c>
      <c r="R241" s="114">
        <v>1.0</v>
      </c>
      <c r="S241" s="115">
        <v>1.0</v>
      </c>
      <c r="T241" s="114">
        <v>1.0</v>
      </c>
      <c r="U241" s="115">
        <v>1.0</v>
      </c>
      <c r="V241" s="114">
        <v>1.0</v>
      </c>
      <c r="W241" s="115">
        <v>1.0</v>
      </c>
      <c r="X241" s="83">
        <f>IFERROR(__xludf.DUMMYFUNCTION("+W241-R241"),0.0)</f>
        <v>0</v>
      </c>
      <c r="Y241" s="65"/>
    </row>
    <row r="242" ht="14.25" customHeight="1">
      <c r="B242" s="69">
        <v>4.5</v>
      </c>
      <c r="C242" s="91" t="s">
        <v>250</v>
      </c>
      <c r="D242" s="70"/>
      <c r="E242" s="70"/>
      <c r="L242" s="61"/>
      <c r="M242" s="62"/>
      <c r="N242" s="114" t="s">
        <v>131</v>
      </c>
      <c r="O242" s="115" t="s">
        <v>131</v>
      </c>
      <c r="P242" s="114" t="s">
        <v>131</v>
      </c>
      <c r="Q242" s="115" t="s">
        <v>131</v>
      </c>
      <c r="R242" s="114" t="s">
        <v>131</v>
      </c>
      <c r="S242" s="115"/>
      <c r="T242" s="64"/>
      <c r="U242" s="68"/>
      <c r="V242" s="64"/>
      <c r="W242" s="115"/>
      <c r="X242" s="64"/>
      <c r="Y242" s="99" t="s">
        <v>251</v>
      </c>
    </row>
    <row r="243" ht="14.25" customHeight="1">
      <c r="B243" s="148"/>
      <c r="C243" s="144"/>
      <c r="D243" s="70"/>
      <c r="E243" s="70"/>
      <c r="L243" s="61"/>
      <c r="M243" s="62"/>
      <c r="N243" s="63"/>
      <c r="O243" s="62"/>
      <c r="P243" s="63"/>
      <c r="Q243" s="62"/>
      <c r="R243" s="63"/>
      <c r="S243" s="68"/>
      <c r="T243" s="64"/>
      <c r="U243" s="68"/>
      <c r="V243" s="64"/>
      <c r="W243" s="68"/>
      <c r="X243" s="64"/>
      <c r="Y243" s="65"/>
    </row>
    <row r="244" ht="14.25" customHeight="1">
      <c r="B244" s="148" t="s">
        <v>252</v>
      </c>
      <c r="C244" s="144"/>
      <c r="D244" s="70"/>
      <c r="E244" s="70"/>
      <c r="L244" s="61"/>
      <c r="M244" s="62"/>
      <c r="N244" s="63"/>
      <c r="O244" s="62"/>
      <c r="P244" s="63"/>
      <c r="Q244" s="62"/>
      <c r="R244" s="63"/>
      <c r="S244" s="68"/>
      <c r="T244" s="64"/>
      <c r="U244" s="68"/>
      <c r="V244" s="64"/>
      <c r="W244" s="68"/>
      <c r="X244" s="64"/>
      <c r="Y244" s="65"/>
    </row>
    <row r="245" ht="14.25" customHeight="1">
      <c r="B245" s="150" t="s">
        <v>253</v>
      </c>
      <c r="C245" s="179"/>
      <c r="D245" s="151"/>
      <c r="E245" s="151"/>
      <c r="F245" s="67"/>
      <c r="G245" s="67"/>
      <c r="H245" s="67"/>
      <c r="I245" s="67"/>
      <c r="J245" s="67"/>
      <c r="K245" s="67"/>
      <c r="L245" s="182"/>
      <c r="M245" s="62"/>
      <c r="N245" s="63"/>
      <c r="O245" s="62"/>
      <c r="P245" s="63"/>
      <c r="Q245" s="62"/>
      <c r="R245" s="63"/>
      <c r="S245" s="68"/>
      <c r="T245" s="64"/>
      <c r="U245" s="68"/>
      <c r="V245" s="64"/>
      <c r="W245" s="68"/>
      <c r="X245" s="64"/>
      <c r="Y245" s="65"/>
    </row>
    <row r="246" ht="14.25" customHeight="1">
      <c r="B246" s="148" t="s">
        <v>28</v>
      </c>
      <c r="C246" s="70"/>
      <c r="D246" s="70"/>
      <c r="E246" s="70"/>
      <c r="L246" s="61"/>
      <c r="M246" s="62"/>
      <c r="N246" s="63"/>
      <c r="O246" s="62"/>
      <c r="P246" s="63"/>
      <c r="Q246" s="62"/>
      <c r="R246" s="63"/>
      <c r="S246" s="68"/>
      <c r="T246" s="64"/>
      <c r="U246" s="68"/>
      <c r="V246" s="64"/>
      <c r="W246" s="68"/>
      <c r="X246" s="64"/>
      <c r="Y246" s="65"/>
    </row>
    <row r="247" ht="14.25" customHeight="1">
      <c r="B247" s="69">
        <v>5.1</v>
      </c>
      <c r="C247" s="91" t="s">
        <v>254</v>
      </c>
      <c r="D247" s="70"/>
      <c r="E247" s="70"/>
      <c r="L247" s="61"/>
      <c r="M247" s="62"/>
      <c r="N247" s="63"/>
      <c r="O247" s="62"/>
      <c r="P247" s="63"/>
      <c r="Q247" s="62"/>
      <c r="R247" s="210"/>
      <c r="S247" s="68"/>
      <c r="T247" s="64"/>
      <c r="U247" s="68"/>
      <c r="V247" s="64"/>
      <c r="W247" s="68"/>
      <c r="X247" s="64"/>
      <c r="Y247" s="65"/>
    </row>
    <row r="248" ht="15.0" customHeight="1">
      <c r="B248" s="69"/>
      <c r="C248" s="91" t="s">
        <v>255</v>
      </c>
      <c r="D248" s="70"/>
      <c r="E248" s="70"/>
      <c r="L248" s="61"/>
      <c r="M248" s="62"/>
      <c r="N248" s="63"/>
      <c r="O248" s="62"/>
      <c r="P248" s="63"/>
      <c r="Q248" s="62"/>
      <c r="R248" s="516" t="s">
        <v>735</v>
      </c>
      <c r="S248" s="68"/>
      <c r="T248" s="64"/>
      <c r="U248" s="68"/>
      <c r="V248" s="64"/>
      <c r="W248" s="68"/>
      <c r="X248" s="64"/>
      <c r="Y248" s="149"/>
    </row>
    <row r="249" ht="14.25" customHeight="1">
      <c r="B249" s="69"/>
      <c r="C249" s="91" t="s">
        <v>256</v>
      </c>
      <c r="D249" s="144"/>
      <c r="E249" s="144"/>
      <c r="L249" s="61"/>
      <c r="M249" s="62"/>
      <c r="N249" s="63"/>
      <c r="O249" s="62"/>
      <c r="P249" s="63"/>
      <c r="Q249" s="62"/>
      <c r="R249" s="40"/>
      <c r="S249" s="68"/>
      <c r="T249" s="64"/>
      <c r="U249" s="68"/>
      <c r="V249" s="64"/>
      <c r="W249" s="68"/>
      <c r="X249" s="64"/>
      <c r="Y249" s="149"/>
    </row>
    <row r="250" ht="14.25" customHeight="1">
      <c r="B250" s="69"/>
      <c r="C250" s="91" t="s">
        <v>257</v>
      </c>
      <c r="D250" s="70"/>
      <c r="L250" s="61"/>
      <c r="M250" s="62"/>
      <c r="N250" s="63"/>
      <c r="O250" s="62"/>
      <c r="P250" s="63"/>
      <c r="Q250" s="62"/>
      <c r="R250" s="40"/>
      <c r="S250" s="68"/>
      <c r="T250" s="64"/>
      <c r="U250" s="68"/>
      <c r="V250" s="64"/>
      <c r="W250" s="68"/>
      <c r="X250" s="64"/>
      <c r="Y250" s="149"/>
    </row>
    <row r="251" ht="14.25" customHeight="1">
      <c r="B251" s="69"/>
      <c r="C251" s="91" t="s">
        <v>258</v>
      </c>
      <c r="D251" s="70"/>
      <c r="E251" s="70"/>
      <c r="L251" s="61"/>
      <c r="M251" s="62"/>
      <c r="N251" s="63"/>
      <c r="O251" s="62"/>
      <c r="P251" s="63"/>
      <c r="Q251" s="62"/>
      <c r="R251" s="40"/>
      <c r="S251" s="68"/>
      <c r="T251" s="64"/>
      <c r="U251" s="68"/>
      <c r="V251" s="64"/>
      <c r="W251" s="68"/>
      <c r="X251" s="64"/>
      <c r="Y251" s="149"/>
    </row>
    <row r="252" ht="14.25" customHeight="1">
      <c r="B252" s="69"/>
      <c r="C252" s="91" t="s">
        <v>259</v>
      </c>
      <c r="D252" s="70"/>
      <c r="E252" s="70"/>
      <c r="L252" s="61"/>
      <c r="M252" s="62"/>
      <c r="N252" s="63"/>
      <c r="O252" s="62"/>
      <c r="P252" s="63"/>
      <c r="Q252" s="62"/>
      <c r="R252" s="40"/>
      <c r="S252" s="68"/>
      <c r="T252" s="64"/>
      <c r="U252" s="68"/>
      <c r="V252" s="64"/>
      <c r="W252" s="68"/>
      <c r="X252" s="64"/>
      <c r="Y252" s="149"/>
    </row>
    <row r="253" ht="14.25" customHeight="1">
      <c r="B253" s="69"/>
      <c r="C253" s="91" t="s">
        <v>260</v>
      </c>
      <c r="D253" s="70"/>
      <c r="E253" s="70"/>
      <c r="L253" s="61"/>
      <c r="M253" s="62"/>
      <c r="N253" s="63"/>
      <c r="O253" s="62"/>
      <c r="P253" s="63"/>
      <c r="Q253" s="62"/>
      <c r="R253" s="40"/>
      <c r="S253" s="68"/>
      <c r="T253" s="64"/>
      <c r="U253" s="68"/>
      <c r="V253" s="64"/>
      <c r="W253" s="68"/>
      <c r="X253" s="64"/>
      <c r="Y253" s="149"/>
    </row>
    <row r="254" ht="14.25" customHeight="1">
      <c r="B254" s="69"/>
      <c r="C254" s="91" t="s">
        <v>261</v>
      </c>
      <c r="D254" s="70"/>
      <c r="E254" s="70"/>
      <c r="L254" s="61"/>
      <c r="M254" s="62"/>
      <c r="N254" s="63"/>
      <c r="O254" s="62"/>
      <c r="P254" s="63"/>
      <c r="Q254" s="62"/>
      <c r="R254" s="40"/>
      <c r="S254" s="68"/>
      <c r="T254" s="64"/>
      <c r="U254" s="68"/>
      <c r="V254" s="64"/>
      <c r="W254" s="68"/>
      <c r="X254" s="64"/>
      <c r="Y254" s="149"/>
    </row>
    <row r="255" ht="14.25" customHeight="1">
      <c r="B255" s="69"/>
      <c r="C255" s="91" t="s">
        <v>262</v>
      </c>
      <c r="D255" s="70"/>
      <c r="E255" s="70"/>
      <c r="L255" s="61"/>
      <c r="M255" s="62"/>
      <c r="N255" s="63"/>
      <c r="O255" s="62"/>
      <c r="P255" s="63"/>
      <c r="Q255" s="62"/>
      <c r="R255" s="40"/>
      <c r="S255" s="68"/>
      <c r="T255" s="64"/>
      <c r="U255" s="68"/>
      <c r="V255" s="64"/>
      <c r="W255" s="68"/>
      <c r="X255" s="64"/>
      <c r="Y255" s="149"/>
    </row>
    <row r="256" ht="14.25" customHeight="1">
      <c r="B256" s="69"/>
      <c r="C256" s="91" t="s">
        <v>263</v>
      </c>
      <c r="D256" s="70"/>
      <c r="E256" s="70"/>
      <c r="L256" s="61"/>
      <c r="M256" s="62"/>
      <c r="N256" s="63"/>
      <c r="O256" s="62"/>
      <c r="P256" s="63"/>
      <c r="Q256" s="62"/>
      <c r="R256" s="40"/>
      <c r="S256" s="68"/>
      <c r="T256" s="64"/>
      <c r="U256" s="68"/>
      <c r="V256" s="64"/>
      <c r="W256" s="68"/>
      <c r="X256" s="64"/>
      <c r="Y256" s="149"/>
    </row>
    <row r="257" ht="14.25" customHeight="1">
      <c r="B257" s="69"/>
      <c r="C257" s="91" t="s">
        <v>264</v>
      </c>
      <c r="D257" s="70"/>
      <c r="E257" s="70"/>
      <c r="L257" s="61"/>
      <c r="M257" s="62"/>
      <c r="N257" s="63"/>
      <c r="O257" s="62"/>
      <c r="P257" s="63"/>
      <c r="Q257" s="62"/>
      <c r="R257" s="40"/>
      <c r="S257" s="68"/>
      <c r="T257" s="64"/>
      <c r="U257" s="68"/>
      <c r="V257" s="64"/>
      <c r="W257" s="68"/>
      <c r="X257" s="64"/>
      <c r="Y257" s="149"/>
    </row>
    <row r="258" ht="14.25" customHeight="1">
      <c r="B258" s="69"/>
      <c r="C258" s="91" t="s">
        <v>265</v>
      </c>
      <c r="D258" s="70"/>
      <c r="E258" s="70"/>
      <c r="L258" s="61"/>
      <c r="M258" s="62"/>
      <c r="N258" s="63"/>
      <c r="O258" s="62"/>
      <c r="P258" s="63"/>
      <c r="Q258" s="62"/>
      <c r="R258" s="40"/>
      <c r="S258" s="68"/>
      <c r="T258" s="64"/>
      <c r="U258" s="68"/>
      <c r="V258" s="64"/>
      <c r="W258" s="68"/>
      <c r="X258" s="64"/>
      <c r="Y258" s="149"/>
    </row>
    <row r="259" ht="14.25" customHeight="1">
      <c r="B259" s="69"/>
      <c r="C259" s="91" t="s">
        <v>266</v>
      </c>
      <c r="D259" s="70"/>
      <c r="E259" s="70"/>
      <c r="L259" s="61"/>
      <c r="M259" s="62"/>
      <c r="N259" s="63"/>
      <c r="O259" s="62"/>
      <c r="P259" s="63"/>
      <c r="Q259" s="62"/>
      <c r="R259" s="40"/>
      <c r="S259" s="68"/>
      <c r="T259" s="64"/>
      <c r="U259" s="68"/>
      <c r="V259" s="64"/>
      <c r="W259" s="68"/>
      <c r="X259" s="64"/>
      <c r="Y259" s="149"/>
    </row>
    <row r="260" ht="14.25" customHeight="1">
      <c r="B260" s="69"/>
      <c r="C260" s="70"/>
      <c r="D260" s="70"/>
      <c r="E260" s="70"/>
      <c r="L260" s="61"/>
      <c r="M260" s="62"/>
      <c r="N260" s="63"/>
      <c r="O260" s="62"/>
      <c r="P260" s="63"/>
      <c r="Q260" s="62"/>
      <c r="R260" s="211"/>
      <c r="S260" s="68"/>
      <c r="T260" s="64"/>
      <c r="U260" s="68"/>
      <c r="V260" s="64"/>
      <c r="W260" s="68"/>
      <c r="X260" s="64"/>
      <c r="Y260" s="149"/>
    </row>
    <row r="261" ht="14.25" customHeight="1">
      <c r="B261" s="212" t="s">
        <v>267</v>
      </c>
      <c r="C261" s="70"/>
      <c r="D261" s="70"/>
      <c r="E261" s="70"/>
      <c r="L261" s="61"/>
      <c r="M261" s="62"/>
      <c r="N261" s="63"/>
      <c r="O261" s="62"/>
      <c r="P261" s="63"/>
      <c r="Q261" s="62"/>
      <c r="R261" s="213"/>
      <c r="S261" s="68"/>
      <c r="T261" s="64"/>
      <c r="U261" s="68"/>
      <c r="V261" s="64"/>
      <c r="W261" s="68"/>
      <c r="X261" s="64"/>
      <c r="Y261" s="149"/>
    </row>
    <row r="262" ht="14.25" customHeight="1">
      <c r="B262" s="69"/>
      <c r="C262" s="214" t="s">
        <v>268</v>
      </c>
      <c r="D262" s="70"/>
      <c r="E262" s="70"/>
      <c r="L262" s="61"/>
      <c r="M262" s="62"/>
      <c r="N262" s="63"/>
      <c r="O262" s="62"/>
      <c r="P262" s="63"/>
      <c r="Q262" s="62"/>
      <c r="R262" s="213"/>
      <c r="S262" s="68"/>
      <c r="T262" s="64"/>
      <c r="U262" s="68"/>
      <c r="V262" s="64"/>
      <c r="W262" s="68"/>
      <c r="X262" s="64"/>
      <c r="Y262" s="149"/>
    </row>
    <row r="263" ht="14.25" customHeight="1">
      <c r="B263" s="69"/>
      <c r="C263" s="91" t="s">
        <v>269</v>
      </c>
      <c r="D263" s="70"/>
      <c r="E263" s="70"/>
      <c r="L263" s="61"/>
      <c r="M263" s="62"/>
      <c r="N263" s="63"/>
      <c r="O263" s="62"/>
      <c r="P263" s="63"/>
      <c r="Q263" s="62"/>
      <c r="R263" s="213"/>
      <c r="S263" s="68"/>
      <c r="T263" s="64"/>
      <c r="U263" s="68">
        <v>0.0</v>
      </c>
      <c r="V263" s="64"/>
      <c r="W263" s="68"/>
      <c r="X263" s="64"/>
      <c r="Y263" s="76" t="s">
        <v>736</v>
      </c>
    </row>
    <row r="264" ht="14.25" customHeight="1">
      <c r="B264" s="69"/>
      <c r="C264" s="91" t="s">
        <v>257</v>
      </c>
      <c r="D264" s="70"/>
      <c r="E264" s="70"/>
      <c r="L264" s="61"/>
      <c r="M264" s="62"/>
      <c r="N264" s="63"/>
      <c r="O264" s="62"/>
      <c r="P264" s="63"/>
      <c r="Q264" s="62"/>
      <c r="R264" s="213"/>
      <c r="S264" s="68"/>
      <c r="T264" s="64"/>
      <c r="U264" s="68">
        <v>1.0</v>
      </c>
      <c r="V264" s="64"/>
      <c r="W264" s="68"/>
      <c r="X264" s="64"/>
      <c r="Y264" s="40"/>
    </row>
    <row r="265" ht="14.25" customHeight="1">
      <c r="B265" s="69"/>
      <c r="C265" s="91" t="s">
        <v>258</v>
      </c>
      <c r="D265" s="70"/>
      <c r="E265" s="70"/>
      <c r="L265" s="61"/>
      <c r="M265" s="62"/>
      <c r="N265" s="63"/>
      <c r="O265" s="62"/>
      <c r="P265" s="63"/>
      <c r="Q265" s="62"/>
      <c r="R265" s="213"/>
      <c r="S265" s="68"/>
      <c r="T265" s="64"/>
      <c r="U265" s="68">
        <v>1.0</v>
      </c>
      <c r="V265" s="64"/>
      <c r="W265" s="68"/>
      <c r="X265" s="64"/>
      <c r="Y265" s="40"/>
    </row>
    <row r="266" ht="14.25" customHeight="1">
      <c r="B266" s="69"/>
      <c r="C266" s="214" t="s">
        <v>271</v>
      </c>
      <c r="D266" s="70"/>
      <c r="E266" s="70"/>
      <c r="L266" s="61"/>
      <c r="M266" s="62"/>
      <c r="N266" s="63"/>
      <c r="O266" s="62"/>
      <c r="P266" s="63"/>
      <c r="Q266" s="62"/>
      <c r="R266" s="213"/>
      <c r="S266" s="68"/>
      <c r="T266" s="64"/>
      <c r="U266" s="68"/>
      <c r="V266" s="64"/>
      <c r="W266" s="68"/>
      <c r="X266" s="64"/>
      <c r="Y266" s="40"/>
    </row>
    <row r="267" ht="14.25" customHeight="1">
      <c r="B267" s="69"/>
      <c r="C267" s="91" t="s">
        <v>272</v>
      </c>
      <c r="D267" s="70"/>
      <c r="E267" s="70"/>
      <c r="L267" s="61"/>
      <c r="M267" s="62"/>
      <c r="N267" s="63"/>
      <c r="O267" s="62"/>
      <c r="P267" s="63"/>
      <c r="Q267" s="62"/>
      <c r="R267" s="213"/>
      <c r="S267" s="68"/>
      <c r="T267" s="64"/>
      <c r="U267" s="68">
        <v>3.0</v>
      </c>
      <c r="V267" s="64"/>
      <c r="W267" s="68"/>
      <c r="X267" s="64"/>
      <c r="Y267" s="40"/>
    </row>
    <row r="268" ht="14.25" customHeight="1">
      <c r="B268" s="69"/>
      <c r="C268" s="91" t="s">
        <v>261</v>
      </c>
      <c r="D268" s="70"/>
      <c r="E268" s="70"/>
      <c r="L268" s="61"/>
      <c r="M268" s="62"/>
      <c r="N268" s="63"/>
      <c r="O268" s="62"/>
      <c r="P268" s="63"/>
      <c r="Q268" s="62"/>
      <c r="R268" s="213"/>
      <c r="S268" s="68"/>
      <c r="T268" s="64"/>
      <c r="U268" s="68">
        <v>3.0</v>
      </c>
      <c r="V268" s="64"/>
      <c r="W268" s="68"/>
      <c r="X268" s="64"/>
      <c r="Y268" s="40"/>
    </row>
    <row r="269" ht="14.25" customHeight="1">
      <c r="B269" s="69"/>
      <c r="C269" s="91" t="s">
        <v>262</v>
      </c>
      <c r="D269" s="70"/>
      <c r="E269" s="70"/>
      <c r="L269" s="61"/>
      <c r="M269" s="62"/>
      <c r="N269" s="63"/>
      <c r="O269" s="62"/>
      <c r="P269" s="63"/>
      <c r="Q269" s="62"/>
      <c r="R269" s="213"/>
      <c r="S269" s="68"/>
      <c r="T269" s="64"/>
      <c r="U269" s="68">
        <v>36.0</v>
      </c>
      <c r="V269" s="64"/>
      <c r="W269" s="68"/>
      <c r="X269" s="64"/>
      <c r="Y269" s="40"/>
    </row>
    <row r="270" ht="14.25" customHeight="1">
      <c r="B270" s="69"/>
      <c r="C270" s="214" t="s">
        <v>273</v>
      </c>
      <c r="D270" s="70"/>
      <c r="E270" s="70"/>
      <c r="L270" s="61"/>
      <c r="M270" s="62"/>
      <c r="N270" s="63"/>
      <c r="O270" s="62"/>
      <c r="P270" s="63"/>
      <c r="Q270" s="62"/>
      <c r="R270" s="213"/>
      <c r="S270" s="68"/>
      <c r="T270" s="64"/>
      <c r="U270" s="68"/>
      <c r="V270" s="64"/>
      <c r="W270" s="68"/>
      <c r="X270" s="64"/>
      <c r="Y270" s="40"/>
    </row>
    <row r="271" ht="14.25" customHeight="1">
      <c r="B271" s="69"/>
      <c r="C271" s="91" t="s">
        <v>274</v>
      </c>
      <c r="D271" s="70"/>
      <c r="E271" s="70"/>
      <c r="L271" s="61"/>
      <c r="M271" s="62"/>
      <c r="N271" s="63"/>
      <c r="O271" s="62"/>
      <c r="P271" s="63"/>
      <c r="Q271" s="62"/>
      <c r="R271" s="213"/>
      <c r="S271" s="68"/>
      <c r="T271" s="64"/>
      <c r="U271" s="68">
        <v>2.0</v>
      </c>
      <c r="V271" s="64"/>
      <c r="W271" s="68"/>
      <c r="X271" s="64"/>
      <c r="Y271" s="40"/>
    </row>
    <row r="272" ht="14.25" customHeight="1">
      <c r="B272" s="69"/>
      <c r="C272" s="91" t="s">
        <v>265</v>
      </c>
      <c r="D272" s="70"/>
      <c r="E272" s="70"/>
      <c r="L272" s="61"/>
      <c r="M272" s="62"/>
      <c r="N272" s="63"/>
      <c r="O272" s="62"/>
      <c r="P272" s="63"/>
      <c r="Q272" s="62"/>
      <c r="R272" s="213"/>
      <c r="S272" s="68"/>
      <c r="T272" s="64"/>
      <c r="U272" s="68">
        <v>1.0</v>
      </c>
      <c r="V272" s="64"/>
      <c r="W272" s="68"/>
      <c r="X272" s="64"/>
      <c r="Y272" s="40"/>
    </row>
    <row r="273" ht="14.25" customHeight="1">
      <c r="B273" s="69"/>
      <c r="C273" s="91" t="s">
        <v>266</v>
      </c>
      <c r="D273" s="70"/>
      <c r="E273" s="70"/>
      <c r="L273" s="61"/>
      <c r="M273" s="62"/>
      <c r="N273" s="63"/>
      <c r="O273" s="62"/>
      <c r="P273" s="63"/>
      <c r="Q273" s="62"/>
      <c r="R273" s="213"/>
      <c r="S273" s="68"/>
      <c r="T273" s="64"/>
      <c r="U273" s="68">
        <v>13.0</v>
      </c>
      <c r="V273" s="64"/>
      <c r="W273" s="68"/>
      <c r="X273" s="64"/>
      <c r="Y273" s="40"/>
    </row>
    <row r="274" ht="14.25" customHeight="1">
      <c r="B274" s="69"/>
      <c r="C274" s="214" t="s">
        <v>275</v>
      </c>
      <c r="D274" s="70"/>
      <c r="E274" s="70"/>
      <c r="L274" s="61"/>
      <c r="M274" s="62"/>
      <c r="N274" s="63"/>
      <c r="O274" s="62"/>
      <c r="P274" s="63"/>
      <c r="Q274" s="62"/>
      <c r="R274" s="213"/>
      <c r="S274" s="68"/>
      <c r="T274" s="64"/>
      <c r="U274" s="68"/>
      <c r="V274" s="64"/>
      <c r="W274" s="68"/>
      <c r="X274" s="64"/>
      <c r="Y274" s="40"/>
    </row>
    <row r="275" ht="14.25" customHeight="1">
      <c r="B275" s="69"/>
      <c r="C275" s="91" t="s">
        <v>276</v>
      </c>
      <c r="D275" s="70"/>
      <c r="E275" s="70"/>
      <c r="L275" s="61"/>
      <c r="M275" s="62"/>
      <c r="N275" s="63"/>
      <c r="O275" s="62"/>
      <c r="P275" s="63"/>
      <c r="Q275" s="62"/>
      <c r="R275" s="213"/>
      <c r="S275" s="68"/>
      <c r="T275" s="64"/>
      <c r="U275" s="68">
        <v>0.0</v>
      </c>
      <c r="V275" s="64"/>
      <c r="W275" s="68"/>
      <c r="X275" s="64"/>
      <c r="Y275" s="40"/>
    </row>
    <row r="276" ht="14.25" customHeight="1">
      <c r="B276" s="69"/>
      <c r="C276" s="91" t="s">
        <v>277</v>
      </c>
      <c r="D276" s="70"/>
      <c r="E276" s="70"/>
      <c r="L276" s="61"/>
      <c r="M276" s="62"/>
      <c r="N276" s="63"/>
      <c r="O276" s="62"/>
      <c r="P276" s="63"/>
      <c r="Q276" s="62"/>
      <c r="R276" s="213"/>
      <c r="S276" s="68"/>
      <c r="T276" s="64"/>
      <c r="U276" s="68">
        <v>0.0</v>
      </c>
      <c r="V276" s="64"/>
      <c r="W276" s="68"/>
      <c r="X276" s="64"/>
      <c r="Y276" s="40"/>
    </row>
    <row r="277" ht="14.25" customHeight="1">
      <c r="B277" s="69"/>
      <c r="C277" s="91" t="s">
        <v>278</v>
      </c>
      <c r="D277" s="70"/>
      <c r="E277" s="70"/>
      <c r="L277" s="61"/>
      <c r="M277" s="62"/>
      <c r="N277" s="63"/>
      <c r="O277" s="62"/>
      <c r="P277" s="63"/>
      <c r="Q277" s="62"/>
      <c r="R277" s="213"/>
      <c r="S277" s="68"/>
      <c r="T277" s="64"/>
      <c r="U277" s="68">
        <v>0.0</v>
      </c>
      <c r="V277" s="64"/>
      <c r="W277" s="68"/>
      <c r="X277" s="64"/>
      <c r="Y277" s="90"/>
    </row>
    <row r="278" ht="14.25" customHeight="1">
      <c r="B278" s="69"/>
      <c r="C278" s="70"/>
      <c r="D278" s="70"/>
      <c r="E278" s="70"/>
      <c r="L278" s="61"/>
      <c r="M278" s="62"/>
      <c r="N278" s="63"/>
      <c r="O278" s="62"/>
      <c r="P278" s="63"/>
      <c r="Q278" s="62"/>
      <c r="R278" s="213"/>
      <c r="S278" s="68"/>
      <c r="T278" s="64"/>
      <c r="U278" s="68"/>
      <c r="V278" s="64"/>
      <c r="W278" s="68"/>
      <c r="X278" s="64"/>
      <c r="Y278" s="149"/>
    </row>
    <row r="279" ht="14.25" customHeight="1">
      <c r="B279" s="69"/>
      <c r="C279" s="70"/>
      <c r="D279" s="70"/>
      <c r="E279" s="70"/>
      <c r="L279" s="61"/>
      <c r="M279" s="62"/>
      <c r="N279" s="63"/>
      <c r="O279" s="62"/>
      <c r="P279" s="63"/>
      <c r="Q279" s="62"/>
      <c r="R279" s="213"/>
      <c r="S279" s="68"/>
      <c r="T279" s="64"/>
      <c r="U279" s="68"/>
      <c r="V279" s="64"/>
      <c r="W279" s="68"/>
      <c r="X279" s="64"/>
      <c r="Y279" s="149"/>
    </row>
    <row r="280" ht="14.25" customHeight="1">
      <c r="B280" s="69"/>
      <c r="C280" s="70"/>
      <c r="D280" s="70"/>
      <c r="E280" s="70"/>
      <c r="L280" s="61"/>
      <c r="M280" s="62"/>
      <c r="N280" s="63"/>
      <c r="O280" s="62"/>
      <c r="P280" s="63"/>
      <c r="Q280" s="62"/>
      <c r="R280" s="213"/>
      <c r="S280" s="68"/>
      <c r="T280" s="64"/>
      <c r="U280" s="68"/>
      <c r="V280" s="64"/>
      <c r="W280" s="68"/>
      <c r="X280" s="64"/>
      <c r="Y280" s="149"/>
    </row>
    <row r="281" ht="14.25" customHeight="1">
      <c r="B281" s="69"/>
      <c r="C281" s="70"/>
      <c r="D281" s="70"/>
      <c r="E281" s="70"/>
      <c r="L281" s="61"/>
      <c r="M281" s="62"/>
      <c r="N281" s="63"/>
      <c r="O281" s="62"/>
      <c r="P281" s="63"/>
      <c r="Q281" s="62"/>
      <c r="R281" s="213"/>
      <c r="S281" s="68"/>
      <c r="T281" s="64"/>
      <c r="U281" s="68"/>
      <c r="V281" s="64"/>
      <c r="W281" s="68"/>
      <c r="X281" s="64"/>
      <c r="Y281" s="149"/>
    </row>
    <row r="282" ht="14.25" customHeight="1">
      <c r="B282" s="148" t="s">
        <v>49</v>
      </c>
      <c r="C282" s="70"/>
      <c r="D282" s="144"/>
      <c r="E282" s="144"/>
      <c r="L282" s="61"/>
      <c r="M282" s="62"/>
      <c r="N282" s="63"/>
      <c r="O282" s="62"/>
      <c r="P282" s="63"/>
      <c r="Q282" s="62"/>
      <c r="R282" s="211"/>
      <c r="S282" s="68"/>
      <c r="T282" s="64"/>
      <c r="U282" s="68"/>
      <c r="V282" s="64"/>
      <c r="W282" s="68"/>
      <c r="X282" s="64"/>
      <c r="Y282" s="149"/>
    </row>
    <row r="283" ht="14.25" customHeight="1">
      <c r="B283" s="69">
        <v>5.1</v>
      </c>
      <c r="C283" s="91" t="s">
        <v>279</v>
      </c>
      <c r="D283" s="70"/>
      <c r="L283" s="61"/>
      <c r="M283" s="62"/>
      <c r="N283" s="64">
        <v>2.0</v>
      </c>
      <c r="O283" s="68">
        <v>8.0</v>
      </c>
      <c r="P283" s="64">
        <v>2.0</v>
      </c>
      <c r="Q283" s="68">
        <v>3.0</v>
      </c>
      <c r="R283" s="215">
        <v>15.0</v>
      </c>
      <c r="S283" s="68">
        <v>1.0</v>
      </c>
      <c r="T283" s="64">
        <v>4.0</v>
      </c>
      <c r="U283" s="68">
        <v>5.0</v>
      </c>
      <c r="V283" s="64">
        <v>4.0</v>
      </c>
      <c r="W283" s="68">
        <f>SUM(S283:V283)</f>
        <v>14</v>
      </c>
      <c r="X283" s="64">
        <f>IFERROR(__xludf.DUMMYFUNCTION("+W283-R283"),-1.0)</f>
        <v>-1</v>
      </c>
      <c r="Y283" s="65"/>
    </row>
    <row r="284" ht="70.5" customHeight="1">
      <c r="A284" s="105"/>
      <c r="B284" s="96">
        <v>5.2</v>
      </c>
      <c r="C284" s="200" t="s">
        <v>280</v>
      </c>
      <c r="D284" s="97"/>
      <c r="E284" s="97"/>
      <c r="F284" s="105"/>
      <c r="G284" s="105"/>
      <c r="H284" s="105"/>
      <c r="I284" s="105"/>
      <c r="J284" s="105"/>
      <c r="K284" s="105"/>
      <c r="L284" s="107"/>
      <c r="M284" s="108"/>
      <c r="N284" s="163">
        <v>1.0</v>
      </c>
      <c r="O284" s="216">
        <v>1.0</v>
      </c>
      <c r="P284" s="163">
        <v>1.0</v>
      </c>
      <c r="Q284" s="216">
        <v>1.0</v>
      </c>
      <c r="R284" s="163">
        <v>1.0</v>
      </c>
      <c r="S284" s="216">
        <v>1.0</v>
      </c>
      <c r="T284" s="163">
        <v>1.0</v>
      </c>
      <c r="U284" s="101"/>
      <c r="V284" s="101"/>
      <c r="W284" s="216">
        <f>IFERROR(__xludf.DUMMYFUNCTION("+S284"),1.0)</f>
        <v>1</v>
      </c>
      <c r="X284" s="101"/>
      <c r="Y284" s="101" t="s">
        <v>737</v>
      </c>
      <c r="Z284" s="217"/>
      <c r="AA284" s="217"/>
      <c r="AB284" s="217"/>
      <c r="AC284" s="217"/>
      <c r="AD284" s="217"/>
      <c r="AE284" s="217" t="s">
        <v>282</v>
      </c>
    </row>
    <row r="285" ht="33.75" customHeight="1">
      <c r="A285" s="105"/>
      <c r="B285" s="96">
        <v>5.3</v>
      </c>
      <c r="C285" s="200" t="s">
        <v>283</v>
      </c>
      <c r="D285" s="97"/>
      <c r="E285" s="97"/>
      <c r="F285" s="105"/>
      <c r="G285" s="105"/>
      <c r="H285" s="105"/>
      <c r="I285" s="105"/>
      <c r="J285" s="105"/>
      <c r="K285" s="105"/>
      <c r="L285" s="107"/>
      <c r="M285" s="108"/>
      <c r="N285" s="163">
        <v>1.0</v>
      </c>
      <c r="O285" s="216">
        <v>1.0</v>
      </c>
      <c r="P285" s="163">
        <v>1.0</v>
      </c>
      <c r="Q285" s="216">
        <v>1.0</v>
      </c>
      <c r="R285" s="163">
        <v>1.0</v>
      </c>
      <c r="S285" s="216">
        <v>1.0</v>
      </c>
      <c r="T285" s="163">
        <v>1.0</v>
      </c>
      <c r="U285" s="101"/>
      <c r="V285" s="101"/>
      <c r="W285" s="216">
        <f>IFERROR(__xludf.DUMMYFUNCTION("+S285"),1.0)</f>
        <v>1</v>
      </c>
      <c r="X285" s="101"/>
      <c r="Y285" s="101" t="s">
        <v>738</v>
      </c>
      <c r="Z285" s="217"/>
      <c r="AA285" s="217"/>
      <c r="AB285" s="217"/>
      <c r="AC285" s="217"/>
      <c r="AD285" s="217"/>
      <c r="AE285" s="217" t="s">
        <v>282</v>
      </c>
    </row>
    <row r="286" ht="14.25" customHeight="1">
      <c r="B286" s="69">
        <v>5.4</v>
      </c>
      <c r="C286" s="91" t="s">
        <v>285</v>
      </c>
      <c r="D286" s="70"/>
      <c r="E286" s="70"/>
      <c r="L286" s="61"/>
      <c r="M286" s="62"/>
      <c r="N286" s="114">
        <v>1.0</v>
      </c>
      <c r="O286" s="115">
        <v>1.0</v>
      </c>
      <c r="P286" s="114">
        <v>1.0</v>
      </c>
      <c r="Q286" s="115">
        <v>1.0</v>
      </c>
      <c r="R286" s="114">
        <v>1.0</v>
      </c>
      <c r="S286" s="115"/>
      <c r="T286" s="64"/>
      <c r="U286" s="68"/>
      <c r="V286" s="64"/>
      <c r="W286" s="115"/>
      <c r="X286" s="64"/>
      <c r="Y286" s="76" t="s">
        <v>286</v>
      </c>
    </row>
    <row r="287" ht="14.25" customHeight="1">
      <c r="B287" s="69">
        <v>5.5</v>
      </c>
      <c r="C287" s="91" t="s">
        <v>287</v>
      </c>
      <c r="D287" s="70"/>
      <c r="E287" s="70"/>
      <c r="L287" s="61"/>
      <c r="M287" s="62"/>
      <c r="N287" s="114">
        <v>1.0</v>
      </c>
      <c r="O287" s="115">
        <v>1.0</v>
      </c>
      <c r="P287" s="114">
        <v>1.0</v>
      </c>
      <c r="Q287" s="115">
        <v>1.0</v>
      </c>
      <c r="R287" s="114">
        <v>1.0</v>
      </c>
      <c r="S287" s="115"/>
      <c r="T287" s="64"/>
      <c r="U287" s="68"/>
      <c r="V287" s="64"/>
      <c r="W287" s="115"/>
      <c r="X287" s="64"/>
      <c r="Y287" s="90"/>
    </row>
    <row r="288" ht="14.25" customHeight="1">
      <c r="B288" s="148"/>
      <c r="C288" s="144"/>
      <c r="D288" s="70"/>
      <c r="E288" s="70"/>
      <c r="L288" s="61"/>
      <c r="M288" s="62"/>
      <c r="N288" s="63"/>
      <c r="O288" s="62"/>
      <c r="P288" s="63"/>
      <c r="Q288" s="62"/>
      <c r="R288" s="63"/>
      <c r="S288" s="68"/>
      <c r="T288" s="64"/>
      <c r="U288" s="68"/>
      <c r="V288" s="64"/>
      <c r="W288" s="68"/>
      <c r="X288" s="64"/>
      <c r="Y288" s="65"/>
    </row>
    <row r="289" ht="14.25" customHeight="1">
      <c r="B289" s="148" t="s">
        <v>288</v>
      </c>
      <c r="C289" s="144"/>
      <c r="D289" s="70"/>
      <c r="E289" s="70"/>
      <c r="L289" s="61"/>
      <c r="M289" s="62"/>
      <c r="N289" s="63"/>
      <c r="O289" s="62"/>
      <c r="P289" s="63"/>
      <c r="Q289" s="62"/>
      <c r="R289" s="63"/>
      <c r="S289" s="68"/>
      <c r="T289" s="64"/>
      <c r="U289" s="68"/>
      <c r="V289" s="64"/>
      <c r="W289" s="68"/>
      <c r="X289" s="64"/>
      <c r="Y289" s="65"/>
    </row>
    <row r="290" ht="14.25" customHeight="1">
      <c r="B290" s="148"/>
      <c r="C290" s="144"/>
      <c r="D290" s="70"/>
      <c r="E290" s="70"/>
      <c r="L290" s="61"/>
      <c r="M290" s="62"/>
      <c r="N290" s="63"/>
      <c r="O290" s="62"/>
      <c r="P290" s="63"/>
      <c r="Q290" s="62"/>
      <c r="R290" s="63"/>
      <c r="S290" s="68"/>
      <c r="T290" s="64"/>
      <c r="U290" s="68"/>
      <c r="V290" s="64"/>
      <c r="W290" s="68"/>
      <c r="X290" s="64"/>
      <c r="Y290" s="65"/>
    </row>
    <row r="291" ht="14.25" customHeight="1">
      <c r="B291" s="148" t="s">
        <v>289</v>
      </c>
      <c r="C291" s="144"/>
      <c r="D291" s="70"/>
      <c r="E291" s="70"/>
      <c r="L291" s="61"/>
      <c r="M291" s="62"/>
      <c r="N291" s="63"/>
      <c r="O291" s="62"/>
      <c r="P291" s="63"/>
      <c r="Q291" s="62"/>
      <c r="R291" s="63"/>
      <c r="S291" s="68"/>
      <c r="T291" s="64"/>
      <c r="U291" s="68"/>
      <c r="V291" s="64"/>
      <c r="W291" s="68"/>
      <c r="X291" s="64"/>
      <c r="Y291" s="65"/>
    </row>
    <row r="292" ht="14.25" customHeight="1">
      <c r="A292" s="105"/>
      <c r="B292" s="96">
        <v>6.1</v>
      </c>
      <c r="C292" s="200" t="s">
        <v>290</v>
      </c>
      <c r="D292" s="97"/>
      <c r="E292" s="97"/>
      <c r="F292" s="105"/>
      <c r="G292" s="105"/>
      <c r="H292" s="105"/>
      <c r="I292" s="105"/>
      <c r="J292" s="105"/>
      <c r="K292" s="105"/>
      <c r="L292" s="107"/>
      <c r="M292" s="108"/>
      <c r="N292" s="139"/>
      <c r="O292" s="140"/>
      <c r="P292" s="139"/>
      <c r="Q292" s="140"/>
      <c r="R292" s="139"/>
      <c r="S292" s="140"/>
      <c r="T292" s="139"/>
      <c r="U292" s="140"/>
      <c r="V292" s="139"/>
      <c r="W292" s="140"/>
      <c r="X292" s="139"/>
      <c r="Y292" s="99" t="s">
        <v>291</v>
      </c>
      <c r="Z292" s="105"/>
      <c r="AA292" s="105"/>
      <c r="AB292" s="105"/>
      <c r="AC292" s="105"/>
      <c r="AD292" s="105"/>
      <c r="AE292" s="105"/>
    </row>
    <row r="293" ht="14.25" customHeight="1">
      <c r="A293" s="105"/>
      <c r="B293" s="96">
        <v>6.2</v>
      </c>
      <c r="C293" s="200" t="s">
        <v>292</v>
      </c>
      <c r="D293" s="186"/>
      <c r="E293" s="186"/>
      <c r="F293" s="105"/>
      <c r="G293" s="105"/>
      <c r="H293" s="105"/>
      <c r="I293" s="105"/>
      <c r="J293" s="105"/>
      <c r="K293" s="105"/>
      <c r="L293" s="107"/>
      <c r="M293" s="108"/>
      <c r="N293" s="139" t="s">
        <v>131</v>
      </c>
      <c r="O293" s="140" t="s">
        <v>131</v>
      </c>
      <c r="P293" s="139" t="s">
        <v>131</v>
      </c>
      <c r="Q293" s="140" t="s">
        <v>131</v>
      </c>
      <c r="R293" s="139" t="s">
        <v>131</v>
      </c>
      <c r="S293" s="140"/>
      <c r="T293" s="139"/>
      <c r="U293" s="140"/>
      <c r="V293" s="139"/>
      <c r="W293" s="140"/>
      <c r="X293" s="139"/>
      <c r="Y293" s="198"/>
      <c r="Z293" s="105"/>
      <c r="AA293" s="105"/>
      <c r="AB293" s="105"/>
      <c r="AC293" s="105"/>
      <c r="AD293" s="105"/>
      <c r="AE293" s="105"/>
    </row>
    <row r="294" ht="14.25" customHeight="1">
      <c r="A294" s="105"/>
      <c r="B294" s="96">
        <v>6.3</v>
      </c>
      <c r="C294" s="200" t="s">
        <v>293</v>
      </c>
      <c r="D294" s="97"/>
      <c r="E294" s="105"/>
      <c r="F294" s="105"/>
      <c r="G294" s="105"/>
      <c r="H294" s="105"/>
      <c r="I294" s="105"/>
      <c r="J294" s="105"/>
      <c r="K294" s="105"/>
      <c r="L294" s="107"/>
      <c r="M294" s="108"/>
      <c r="N294" s="139"/>
      <c r="O294" s="140"/>
      <c r="P294" s="139"/>
      <c r="Q294" s="140"/>
      <c r="R294" s="139"/>
      <c r="S294" s="140"/>
      <c r="T294" s="139"/>
      <c r="U294" s="140"/>
      <c r="V294" s="139"/>
      <c r="W294" s="140"/>
      <c r="X294" s="139"/>
      <c r="Y294" s="99"/>
      <c r="Z294" s="105"/>
      <c r="AA294" s="105"/>
      <c r="AB294" s="105"/>
      <c r="AC294" s="105"/>
      <c r="AD294" s="105"/>
      <c r="AE294" s="105"/>
    </row>
    <row r="295" ht="14.25" customHeight="1">
      <c r="A295" s="105"/>
      <c r="B295" s="96"/>
      <c r="C295" s="200" t="s">
        <v>294</v>
      </c>
      <c r="D295" s="97"/>
      <c r="E295" s="97"/>
      <c r="F295" s="105"/>
      <c r="G295" s="105"/>
      <c r="H295" s="105"/>
      <c r="I295" s="105"/>
      <c r="J295" s="105"/>
      <c r="K295" s="105"/>
      <c r="L295" s="107"/>
      <c r="M295" s="108"/>
      <c r="N295" s="139"/>
      <c r="O295" s="140"/>
      <c r="P295" s="139"/>
      <c r="Q295" s="140"/>
      <c r="R295" s="139">
        <v>1.0</v>
      </c>
      <c r="S295" s="140"/>
      <c r="T295" s="139"/>
      <c r="U295" s="140">
        <v>2.0</v>
      </c>
      <c r="V295" s="139"/>
      <c r="W295" s="140">
        <f>IFERROR(__xludf.DUMMYFUNCTION("+U295"),2.0)</f>
        <v>2</v>
      </c>
      <c r="X295" s="139"/>
      <c r="Y295" s="218"/>
      <c r="Z295" s="105"/>
      <c r="AA295" s="105"/>
      <c r="AB295" s="105"/>
      <c r="AC295" s="105"/>
      <c r="AD295" s="105"/>
      <c r="AE295" s="105"/>
    </row>
    <row r="296" ht="14.25" customHeight="1">
      <c r="A296" s="105"/>
      <c r="B296" s="96"/>
      <c r="C296" s="200" t="s">
        <v>295</v>
      </c>
      <c r="D296" s="97"/>
      <c r="E296" s="97"/>
      <c r="F296" s="105"/>
      <c r="G296" s="105"/>
      <c r="H296" s="105"/>
      <c r="I296" s="105"/>
      <c r="J296" s="105"/>
      <c r="K296" s="105"/>
      <c r="L296" s="107"/>
      <c r="M296" s="108"/>
      <c r="N296" s="139"/>
      <c r="O296" s="140"/>
      <c r="P296" s="139"/>
      <c r="Q296" s="140"/>
      <c r="R296" s="139">
        <v>3.0</v>
      </c>
      <c r="S296" s="140"/>
      <c r="T296" s="139"/>
      <c r="U296" s="140">
        <v>1.0</v>
      </c>
      <c r="V296" s="139">
        <v>6.0</v>
      </c>
      <c r="W296" s="140">
        <f>IFERROR(__xludf.DUMMYFUNCTION("+U296"),1.0)</f>
        <v>1</v>
      </c>
      <c r="X296" s="139"/>
      <c r="Y296" s="219"/>
      <c r="Z296" s="105"/>
      <c r="AA296" s="105"/>
      <c r="AB296" s="105"/>
      <c r="AC296" s="105"/>
      <c r="AD296" s="105"/>
      <c r="AE296" s="105"/>
    </row>
    <row r="297" ht="14.25" customHeight="1">
      <c r="A297" s="105"/>
      <c r="B297" s="96">
        <v>6.4</v>
      </c>
      <c r="C297" s="200" t="s">
        <v>297</v>
      </c>
      <c r="D297" s="97"/>
      <c r="E297" s="97"/>
      <c r="F297" s="105"/>
      <c r="G297" s="105"/>
      <c r="H297" s="105"/>
      <c r="I297" s="105"/>
      <c r="J297" s="105"/>
      <c r="K297" s="105"/>
      <c r="L297" s="107"/>
      <c r="M297" s="108"/>
      <c r="N297" s="139" t="s">
        <v>131</v>
      </c>
      <c r="O297" s="140" t="s">
        <v>131</v>
      </c>
      <c r="P297" s="139" t="s">
        <v>131</v>
      </c>
      <c r="Q297" s="140" t="s">
        <v>131</v>
      </c>
      <c r="R297" s="139" t="s">
        <v>131</v>
      </c>
      <c r="S297" s="140"/>
      <c r="T297" s="139"/>
      <c r="U297" s="140"/>
      <c r="V297" s="139"/>
      <c r="W297" s="140"/>
      <c r="X297" s="139"/>
      <c r="Y297" s="78"/>
      <c r="Z297" s="105"/>
      <c r="AA297" s="105"/>
      <c r="AB297" s="105"/>
      <c r="AC297" s="105"/>
      <c r="AD297" s="105"/>
      <c r="AE297" s="105"/>
    </row>
    <row r="298" ht="74.25" customHeight="1">
      <c r="A298" s="105"/>
      <c r="B298" s="96">
        <v>6.5</v>
      </c>
      <c r="C298" s="200" t="s">
        <v>298</v>
      </c>
      <c r="D298" s="186"/>
      <c r="E298" s="186"/>
      <c r="F298" s="105"/>
      <c r="G298" s="105"/>
      <c r="H298" s="105"/>
      <c r="I298" s="105"/>
      <c r="J298" s="105"/>
      <c r="K298" s="105"/>
      <c r="L298" s="107"/>
      <c r="M298" s="108"/>
      <c r="N298" s="220" t="s">
        <v>299</v>
      </c>
      <c r="O298" s="220" t="s">
        <v>299</v>
      </c>
      <c r="P298" s="220" t="s">
        <v>299</v>
      </c>
      <c r="Q298" s="220" t="s">
        <v>299</v>
      </c>
      <c r="R298" s="220" t="s">
        <v>299</v>
      </c>
      <c r="S298" s="140"/>
      <c r="T298" s="139"/>
      <c r="U298" s="140"/>
      <c r="V298" s="139"/>
      <c r="W298" s="140"/>
      <c r="X298" s="139"/>
      <c r="Y298" s="219" t="s">
        <v>300</v>
      </c>
      <c r="Z298" s="105"/>
      <c r="AA298" s="105"/>
      <c r="AB298" s="105"/>
      <c r="AC298" s="105"/>
      <c r="AD298" s="105"/>
      <c r="AE298" s="105"/>
    </row>
    <row r="299" ht="15.0" customHeight="1">
      <c r="B299" s="148" t="s">
        <v>301</v>
      </c>
      <c r="C299" s="144"/>
      <c r="D299" s="70"/>
      <c r="E299" s="70"/>
      <c r="L299" s="61"/>
      <c r="M299" s="62"/>
      <c r="N299" s="149"/>
      <c r="O299" s="149"/>
      <c r="P299" s="149"/>
      <c r="Q299" s="149"/>
      <c r="R299" s="149"/>
      <c r="S299" s="68"/>
      <c r="T299" s="64"/>
      <c r="U299" s="68"/>
      <c r="V299" s="64"/>
      <c r="W299" s="68"/>
      <c r="X299" s="64"/>
      <c r="Y299" s="65"/>
    </row>
    <row r="300" ht="14.25" customHeight="1">
      <c r="B300" s="96">
        <v>6.6</v>
      </c>
      <c r="C300" s="200" t="s">
        <v>302</v>
      </c>
      <c r="D300" s="70"/>
      <c r="E300" s="97"/>
      <c r="F300" s="105"/>
      <c r="G300" s="105"/>
      <c r="H300" s="105"/>
      <c r="I300" s="105"/>
      <c r="J300" s="105"/>
      <c r="K300" s="105"/>
      <c r="L300" s="107"/>
      <c r="M300" s="108"/>
      <c r="N300" s="221" t="s">
        <v>303</v>
      </c>
      <c r="R300" s="29"/>
      <c r="S300" s="140"/>
      <c r="T300" s="139"/>
      <c r="U300" s="203"/>
      <c r="V300" s="93"/>
      <c r="W300" s="203"/>
      <c r="X300" s="139"/>
      <c r="Y300" s="99"/>
    </row>
    <row r="301" ht="14.25" customHeight="1">
      <c r="B301" s="100" t="s">
        <v>304</v>
      </c>
      <c r="C301" s="91" t="s">
        <v>305</v>
      </c>
      <c r="D301" s="70"/>
      <c r="E301" s="70"/>
      <c r="L301" s="61"/>
      <c r="M301" s="62"/>
      <c r="N301" s="28"/>
      <c r="R301" s="29"/>
      <c r="S301" s="68"/>
      <c r="T301" s="64"/>
      <c r="U301" s="68"/>
      <c r="V301" s="64"/>
      <c r="W301" s="68"/>
      <c r="X301" s="64"/>
      <c r="Y301" s="65"/>
    </row>
    <row r="302" ht="14.25" customHeight="1">
      <c r="B302" s="106" t="s">
        <v>306</v>
      </c>
      <c r="C302" s="200" t="s">
        <v>307</v>
      </c>
      <c r="D302" s="70"/>
      <c r="E302" s="97"/>
      <c r="F302" s="105"/>
      <c r="G302" s="105"/>
      <c r="H302" s="105"/>
      <c r="I302" s="105"/>
      <c r="J302" s="105"/>
      <c r="K302" s="105"/>
      <c r="L302" s="107"/>
      <c r="M302" s="108"/>
      <c r="N302" s="28"/>
      <c r="R302" s="29"/>
      <c r="S302" s="140"/>
      <c r="T302" s="139"/>
      <c r="U302" s="203"/>
      <c r="V302" s="93"/>
      <c r="W302" s="203"/>
      <c r="X302" s="139"/>
      <c r="Y302" s="99"/>
    </row>
    <row r="303" ht="14.25" customHeight="1">
      <c r="B303" s="100" t="s">
        <v>308</v>
      </c>
      <c r="C303" s="91" t="s">
        <v>309</v>
      </c>
      <c r="D303" s="70"/>
      <c r="E303" s="70"/>
      <c r="L303" s="61"/>
      <c r="M303" s="62"/>
      <c r="N303" s="28"/>
      <c r="R303" s="29"/>
      <c r="S303" s="68"/>
      <c r="T303" s="64"/>
      <c r="U303" s="68"/>
      <c r="V303" s="64"/>
      <c r="W303" s="68"/>
      <c r="X303" s="64"/>
      <c r="Y303" s="65"/>
    </row>
    <row r="304" ht="14.25" customHeight="1">
      <c r="B304" s="106" t="s">
        <v>310</v>
      </c>
      <c r="C304" s="200" t="s">
        <v>311</v>
      </c>
      <c r="D304" s="70"/>
      <c r="E304" s="97"/>
      <c r="F304" s="105"/>
      <c r="G304" s="105"/>
      <c r="H304" s="105"/>
      <c r="I304" s="105"/>
      <c r="J304" s="105"/>
      <c r="K304" s="105"/>
      <c r="L304" s="107"/>
      <c r="M304" s="108"/>
      <c r="N304" s="28"/>
      <c r="R304" s="29"/>
      <c r="S304" s="140"/>
      <c r="T304" s="139"/>
      <c r="U304" s="203"/>
      <c r="V304" s="93"/>
      <c r="W304" s="203"/>
      <c r="X304" s="139"/>
      <c r="Y304" s="99"/>
    </row>
    <row r="305" ht="14.25" customHeight="1">
      <c r="B305" s="100">
        <v>6.7</v>
      </c>
      <c r="C305" s="91" t="s">
        <v>312</v>
      </c>
      <c r="D305" s="70"/>
      <c r="E305" s="70"/>
      <c r="L305" s="61"/>
      <c r="M305" s="62"/>
      <c r="N305" s="28"/>
      <c r="R305" s="29"/>
      <c r="S305" s="68"/>
      <c r="T305" s="64"/>
      <c r="U305" s="68"/>
      <c r="V305" s="64"/>
      <c r="W305" s="68"/>
      <c r="X305" s="64"/>
      <c r="Y305" s="65"/>
    </row>
    <row r="306" ht="14.25" customHeight="1">
      <c r="B306" s="106" t="s">
        <v>313</v>
      </c>
      <c r="C306" s="200" t="s">
        <v>314</v>
      </c>
      <c r="D306" s="70"/>
      <c r="E306" s="97"/>
      <c r="F306" s="105"/>
      <c r="G306" s="105"/>
      <c r="H306" s="105"/>
      <c r="I306" s="105"/>
      <c r="J306" s="105"/>
      <c r="K306" s="105"/>
      <c r="L306" s="107"/>
      <c r="M306" s="108"/>
      <c r="N306" s="28"/>
      <c r="R306" s="29"/>
      <c r="S306" s="140"/>
      <c r="T306" s="139"/>
      <c r="U306" s="203"/>
      <c r="V306" s="93"/>
      <c r="W306" s="203"/>
      <c r="X306" s="139"/>
      <c r="Y306" s="99"/>
    </row>
    <row r="307" ht="14.25" customHeight="1">
      <c r="B307" s="100" t="s">
        <v>315</v>
      </c>
      <c r="C307" s="91" t="s">
        <v>316</v>
      </c>
      <c r="D307" s="70"/>
      <c r="E307" s="70"/>
      <c r="L307" s="61"/>
      <c r="M307" s="62"/>
      <c r="N307" s="28"/>
      <c r="R307" s="29"/>
      <c r="S307" s="68"/>
      <c r="T307" s="64"/>
      <c r="U307" s="68"/>
      <c r="V307" s="64"/>
      <c r="W307" s="68"/>
      <c r="X307" s="64"/>
      <c r="Y307" s="65"/>
    </row>
    <row r="308" ht="14.25" customHeight="1">
      <c r="B308" s="106" t="s">
        <v>317</v>
      </c>
      <c r="C308" s="200" t="s">
        <v>318</v>
      </c>
      <c r="D308" s="70"/>
      <c r="E308" s="97"/>
      <c r="F308" s="105"/>
      <c r="G308" s="105"/>
      <c r="H308" s="105"/>
      <c r="I308" s="105"/>
      <c r="J308" s="105"/>
      <c r="K308" s="105"/>
      <c r="L308" s="107"/>
      <c r="M308" s="108"/>
      <c r="N308" s="28"/>
      <c r="R308" s="29"/>
      <c r="S308" s="140"/>
      <c r="T308" s="139"/>
      <c r="U308" s="203"/>
      <c r="V308" s="93"/>
      <c r="W308" s="203"/>
      <c r="X308" s="139"/>
      <c r="Y308" s="99"/>
    </row>
    <row r="309" ht="14.25" customHeight="1">
      <c r="B309" s="100" t="s">
        <v>319</v>
      </c>
      <c r="C309" s="91" t="s">
        <v>320</v>
      </c>
      <c r="D309" s="70"/>
      <c r="E309" s="70"/>
      <c r="L309" s="61"/>
      <c r="M309" s="62"/>
      <c r="N309" s="222"/>
      <c r="O309" s="223"/>
      <c r="P309" s="223"/>
      <c r="Q309" s="223"/>
      <c r="R309" s="224"/>
      <c r="S309" s="68"/>
      <c r="T309" s="64"/>
      <c r="U309" s="68"/>
      <c r="V309" s="64"/>
      <c r="W309" s="68"/>
      <c r="X309" s="64"/>
      <c r="Y309" s="65"/>
    </row>
    <row r="310" ht="14.25" customHeight="1">
      <c r="B310" s="106">
        <v>6.8</v>
      </c>
      <c r="C310" s="200" t="s">
        <v>321</v>
      </c>
      <c r="D310" s="70"/>
      <c r="E310" s="97"/>
      <c r="F310" s="105"/>
      <c r="G310" s="105"/>
      <c r="H310" s="105"/>
      <c r="I310" s="105"/>
      <c r="J310" s="105"/>
      <c r="K310" s="105"/>
      <c r="L310" s="107"/>
      <c r="M310" s="108"/>
      <c r="N310" s="78"/>
      <c r="O310" s="108"/>
      <c r="P310" s="78"/>
      <c r="Q310" s="188"/>
      <c r="R310" s="163">
        <v>0.6</v>
      </c>
      <c r="S310" s="140"/>
      <c r="T310" s="139"/>
      <c r="U310" s="203"/>
      <c r="V310" s="93">
        <v>0.6667</v>
      </c>
      <c r="W310" s="187">
        <f>IFERROR(__xludf.DUMMYFUNCTION("+V310"),0.6667)</f>
        <v>0.6667</v>
      </c>
      <c r="X310" s="517">
        <f>IFERROR(__xludf.DUMMYFUNCTION("+W310-R310"),0.06669999999999998)</f>
        <v>0.0667</v>
      </c>
      <c r="Y310" s="99"/>
    </row>
    <row r="311" ht="14.25" customHeight="1">
      <c r="A311" s="105"/>
      <c r="B311" s="96">
        <v>6.9</v>
      </c>
      <c r="C311" s="200" t="s">
        <v>322</v>
      </c>
      <c r="D311" s="97"/>
      <c r="E311" s="97"/>
      <c r="F311" s="105"/>
      <c r="G311" s="105"/>
      <c r="H311" s="105"/>
      <c r="I311" s="105"/>
      <c r="J311" s="105"/>
      <c r="K311" s="105"/>
      <c r="L311" s="107"/>
      <c r="M311" s="108"/>
      <c r="N311" s="139"/>
      <c r="O311" s="140"/>
      <c r="P311" s="139">
        <v>2.0</v>
      </c>
      <c r="Q311" s="140">
        <v>3.0</v>
      </c>
      <c r="R311" s="139">
        <v>5.0</v>
      </c>
      <c r="S311" s="140"/>
      <c r="T311" s="139"/>
      <c r="U311" s="140"/>
      <c r="V311" s="139">
        <v>7.0</v>
      </c>
      <c r="W311" s="140">
        <f>IFERROR(__xludf.DUMMYFUNCTION("+V311"),7.0)</f>
        <v>7</v>
      </c>
      <c r="X311" s="139">
        <f>IFERROR(__xludf.DUMMYFUNCTION("+W311-R311"),2.0)</f>
        <v>2</v>
      </c>
      <c r="Y311" s="99"/>
      <c r="Z311" s="105"/>
      <c r="AA311" s="105"/>
      <c r="AB311" s="105"/>
      <c r="AC311" s="105"/>
      <c r="AD311" s="105"/>
      <c r="AE311" s="105"/>
    </row>
    <row r="312" ht="14.25" customHeight="1">
      <c r="A312" s="105"/>
      <c r="B312" s="106">
        <v>6.1</v>
      </c>
      <c r="C312" s="200" t="s">
        <v>323</v>
      </c>
      <c r="D312" s="97"/>
      <c r="E312" s="97"/>
      <c r="F312" s="105"/>
      <c r="G312" s="105"/>
      <c r="H312" s="105"/>
      <c r="I312" s="105"/>
      <c r="J312" s="105"/>
      <c r="K312" s="105"/>
      <c r="L312" s="107"/>
      <c r="M312" s="108"/>
      <c r="N312" s="78"/>
      <c r="O312" s="108"/>
      <c r="P312" s="78"/>
      <c r="Q312" s="188"/>
      <c r="R312" s="163"/>
      <c r="S312" s="140"/>
      <c r="T312" s="139"/>
      <c r="U312" s="203"/>
      <c r="V312" s="93"/>
      <c r="W312" s="203"/>
      <c r="X312" s="139"/>
      <c r="Y312" s="99" t="s">
        <v>324</v>
      </c>
      <c r="Z312" s="105"/>
      <c r="AA312" s="105"/>
      <c r="AB312" s="105"/>
      <c r="AC312" s="105"/>
      <c r="AD312" s="105"/>
      <c r="AE312" s="105"/>
    </row>
    <row r="313" ht="14.25" customHeight="1">
      <c r="A313" s="105"/>
      <c r="B313" s="106" t="s">
        <v>325</v>
      </c>
      <c r="C313" s="200" t="s">
        <v>326</v>
      </c>
      <c r="D313" s="97"/>
      <c r="E313" s="97"/>
      <c r="F313" s="105"/>
      <c r="G313" s="105"/>
      <c r="H313" s="105"/>
      <c r="I313" s="105"/>
      <c r="J313" s="105"/>
      <c r="K313" s="105"/>
      <c r="L313" s="107"/>
      <c r="M313" s="108"/>
      <c r="N313" s="78"/>
      <c r="O313" s="108"/>
      <c r="P313" s="78"/>
      <c r="Q313" s="188"/>
      <c r="R313" s="163"/>
      <c r="S313" s="140"/>
      <c r="T313" s="139"/>
      <c r="U313" s="203"/>
      <c r="V313" s="93"/>
      <c r="W313" s="203"/>
      <c r="X313" s="139"/>
      <c r="Y313" s="99" t="s">
        <v>327</v>
      </c>
      <c r="Z313" s="105"/>
      <c r="AA313" s="105"/>
      <c r="AB313" s="105"/>
      <c r="AC313" s="105"/>
      <c r="AD313" s="105"/>
      <c r="AE313" s="105"/>
    </row>
    <row r="314" ht="14.25" customHeight="1">
      <c r="A314" s="105"/>
      <c r="B314" s="106" t="s">
        <v>328</v>
      </c>
      <c r="C314" s="200" t="s">
        <v>329</v>
      </c>
      <c r="D314" s="97"/>
      <c r="E314" s="97"/>
      <c r="F314" s="105"/>
      <c r="G314" s="105"/>
      <c r="H314" s="105"/>
      <c r="I314" s="105"/>
      <c r="J314" s="105"/>
      <c r="K314" s="105"/>
      <c r="L314" s="107"/>
      <c r="M314" s="108"/>
      <c r="N314" s="139"/>
      <c r="O314" s="140"/>
      <c r="P314" s="139"/>
      <c r="Q314" s="140"/>
      <c r="R314" s="169">
        <v>1.0</v>
      </c>
      <c r="S314" s="187">
        <v>0.3559322033898305</v>
      </c>
      <c r="T314" s="93">
        <v>0.0</v>
      </c>
      <c r="U314" s="187">
        <v>0.8305084745762712</v>
      </c>
      <c r="V314" s="169">
        <v>0.0847</v>
      </c>
      <c r="W314" s="187">
        <v>1.2712</v>
      </c>
      <c r="X314" s="225">
        <f>IFERROR(__xludf.DUMMYFUNCTION("+W314-R314"),0.2712000000000001)</f>
        <v>0.2712</v>
      </c>
      <c r="Y314" s="218"/>
      <c r="Z314" s="105"/>
      <c r="AA314" s="105"/>
      <c r="AB314" s="105"/>
      <c r="AC314" s="105"/>
      <c r="AD314" s="105"/>
      <c r="AE314" s="105"/>
    </row>
    <row r="315" ht="14.25" customHeight="1">
      <c r="B315" s="69"/>
      <c r="C315" s="70"/>
      <c r="D315" s="70"/>
      <c r="E315" s="70"/>
      <c r="L315" s="61"/>
      <c r="M315" s="62"/>
      <c r="N315" s="64"/>
      <c r="O315" s="68"/>
      <c r="P315" s="64"/>
      <c r="Q315" s="68"/>
      <c r="R315" s="64"/>
      <c r="S315" s="68"/>
      <c r="T315" s="64"/>
      <c r="U315" s="68"/>
      <c r="V315" s="64"/>
      <c r="W315" s="68"/>
      <c r="X315" s="64"/>
      <c r="Y315" s="65"/>
    </row>
    <row r="316" ht="14.25" customHeight="1">
      <c r="B316" s="148" t="s">
        <v>331</v>
      </c>
      <c r="C316" s="144"/>
      <c r="D316" s="70"/>
      <c r="E316" s="70"/>
      <c r="L316" s="61"/>
      <c r="M316" s="62"/>
      <c r="N316" s="63"/>
      <c r="O316" s="62"/>
      <c r="P316" s="63"/>
      <c r="Q316" s="62"/>
      <c r="R316" s="63"/>
      <c r="S316" s="68"/>
      <c r="T316" s="64"/>
      <c r="U316" s="68"/>
      <c r="V316" s="64"/>
      <c r="W316" s="68"/>
      <c r="X316" s="64"/>
      <c r="Y316" s="65"/>
    </row>
    <row r="317" ht="14.25" customHeight="1">
      <c r="A317" s="105"/>
      <c r="B317" s="96">
        <v>6.11</v>
      </c>
      <c r="C317" s="200" t="s">
        <v>332</v>
      </c>
      <c r="D317" s="97"/>
      <c r="E317" s="97"/>
      <c r="F317" s="105"/>
      <c r="G317" s="105"/>
      <c r="H317" s="105"/>
      <c r="I317" s="105"/>
      <c r="J317" s="105"/>
      <c r="K317" s="105"/>
      <c r="L317" s="107"/>
      <c r="M317" s="108"/>
      <c r="N317" s="101"/>
      <c r="O317" s="188" t="s">
        <v>739</v>
      </c>
      <c r="P317" s="101" t="s">
        <v>740</v>
      </c>
      <c r="Q317" s="188" t="s">
        <v>741</v>
      </c>
      <c r="R317" s="101" t="s">
        <v>742</v>
      </c>
      <c r="S317" s="140"/>
      <c r="T317" s="101"/>
      <c r="U317" s="140"/>
      <c r="V317" s="139"/>
      <c r="W317" s="188"/>
      <c r="X317" s="139"/>
      <c r="Y317" s="99" t="s">
        <v>743</v>
      </c>
      <c r="Z317" s="105"/>
      <c r="AA317" s="105"/>
      <c r="AB317" s="105"/>
      <c r="AC317" s="105"/>
      <c r="AD317" s="105"/>
      <c r="AE317" s="105"/>
    </row>
    <row r="318" ht="14.25" customHeight="1">
      <c r="A318" s="105"/>
      <c r="B318" s="96">
        <v>6.12</v>
      </c>
      <c r="C318" s="200" t="s">
        <v>334</v>
      </c>
      <c r="D318" s="97"/>
      <c r="E318" s="97"/>
      <c r="F318" s="105"/>
      <c r="G318" s="105"/>
      <c r="H318" s="105"/>
      <c r="I318" s="105"/>
      <c r="J318" s="105"/>
      <c r="K318" s="105"/>
      <c r="L318" s="107"/>
      <c r="M318" s="108"/>
      <c r="N318" s="101" t="s">
        <v>131</v>
      </c>
      <c r="O318" s="188" t="s">
        <v>131</v>
      </c>
      <c r="P318" s="101" t="s">
        <v>131</v>
      </c>
      <c r="Q318" s="188" t="s">
        <v>131</v>
      </c>
      <c r="R318" s="101" t="s">
        <v>131</v>
      </c>
      <c r="S318" s="140">
        <v>2.0</v>
      </c>
      <c r="T318" s="101">
        <v>2.0</v>
      </c>
      <c r="U318" s="140">
        <v>0.0</v>
      </c>
      <c r="V318" s="139">
        <v>0.0</v>
      </c>
      <c r="W318" s="188">
        <f t="shared" ref="W318:W319" si="7">SUM(S318:V318)</f>
        <v>4</v>
      </c>
      <c r="X318" s="139"/>
      <c r="Y318" s="99"/>
      <c r="Z318" s="105"/>
      <c r="AA318" s="105"/>
      <c r="AB318" s="105"/>
      <c r="AC318" s="105"/>
      <c r="AD318" s="105"/>
      <c r="AE318" s="105"/>
    </row>
    <row r="319" ht="14.25" customHeight="1">
      <c r="A319" s="105"/>
      <c r="B319" s="96">
        <v>6.13</v>
      </c>
      <c r="C319" s="200" t="s">
        <v>335</v>
      </c>
      <c r="D319" s="97"/>
      <c r="E319" s="97"/>
      <c r="F319" s="105"/>
      <c r="G319" s="105"/>
      <c r="H319" s="105"/>
      <c r="I319" s="105"/>
      <c r="J319" s="105"/>
      <c r="K319" s="105"/>
      <c r="L319" s="107"/>
      <c r="M319" s="108"/>
      <c r="N319" s="101" t="s">
        <v>131</v>
      </c>
      <c r="O319" s="188" t="s">
        <v>131</v>
      </c>
      <c r="P319" s="101" t="s">
        <v>131</v>
      </c>
      <c r="Q319" s="188" t="s">
        <v>131</v>
      </c>
      <c r="R319" s="101" t="s">
        <v>131</v>
      </c>
      <c r="S319" s="140">
        <v>11.0</v>
      </c>
      <c r="T319" s="101">
        <v>3.0</v>
      </c>
      <c r="U319" s="140">
        <v>7.0</v>
      </c>
      <c r="V319" s="139">
        <v>0.0</v>
      </c>
      <c r="W319" s="188">
        <f t="shared" si="7"/>
        <v>21</v>
      </c>
      <c r="X319" s="139"/>
      <c r="Y319" s="99"/>
      <c r="Z319" s="105"/>
      <c r="AA319" s="105"/>
      <c r="AB319" s="105"/>
      <c r="AC319" s="105"/>
      <c r="AD319" s="105"/>
      <c r="AE319" s="105"/>
    </row>
    <row r="320" ht="14.25" customHeight="1">
      <c r="A320" s="105"/>
      <c r="B320" s="96">
        <v>6.14</v>
      </c>
      <c r="C320" s="200" t="s">
        <v>336</v>
      </c>
      <c r="D320" s="97"/>
      <c r="E320" s="97"/>
      <c r="F320" s="105"/>
      <c r="G320" s="105"/>
      <c r="H320" s="105"/>
      <c r="I320" s="105"/>
      <c r="J320" s="105"/>
      <c r="K320" s="105"/>
      <c r="L320" s="107"/>
      <c r="M320" s="108"/>
      <c r="N320" s="101"/>
      <c r="O320" s="188"/>
      <c r="P320" s="101"/>
      <c r="Q320" s="188"/>
      <c r="R320" s="101"/>
      <c r="S320" s="140"/>
      <c r="T320" s="101"/>
      <c r="U320" s="140"/>
      <c r="V320" s="139">
        <v>0.0</v>
      </c>
      <c r="W320" s="188"/>
      <c r="X320" s="139"/>
      <c r="Y320" s="99"/>
      <c r="Z320" s="105"/>
      <c r="AA320" s="105"/>
      <c r="AB320" s="105"/>
      <c r="AC320" s="105"/>
      <c r="AD320" s="105"/>
      <c r="AE320" s="105"/>
    </row>
    <row r="321" ht="14.25" customHeight="1">
      <c r="A321" s="105"/>
      <c r="B321" s="96">
        <v>6.15</v>
      </c>
      <c r="C321" s="200" t="s">
        <v>337</v>
      </c>
      <c r="D321" s="97"/>
      <c r="E321" s="97"/>
      <c r="F321" s="105"/>
      <c r="G321" s="105"/>
      <c r="H321" s="105"/>
      <c r="I321" s="105"/>
      <c r="J321" s="105"/>
      <c r="K321" s="105"/>
      <c r="L321" s="107"/>
      <c r="M321" s="108"/>
      <c r="N321" s="101"/>
      <c r="O321" s="188"/>
      <c r="P321" s="176"/>
      <c r="Q321" s="226"/>
      <c r="R321" s="176">
        <v>834959.0</v>
      </c>
      <c r="S321" s="140"/>
      <c r="T321" s="139"/>
      <c r="U321" s="140"/>
      <c r="V321" s="98">
        <v>204358.0</v>
      </c>
      <c r="W321" s="195">
        <f>IFERROR(__xludf.DUMMYFUNCTION("+V321"),204358.0)</f>
        <v>204358</v>
      </c>
      <c r="X321" s="98">
        <f>IFERROR(__xludf.DUMMYFUNCTION("+W321-R321"),-630601.0)</f>
        <v>-630601</v>
      </c>
      <c r="Y321" s="99" t="s">
        <v>744</v>
      </c>
      <c r="Z321" s="105"/>
      <c r="AA321" s="105"/>
      <c r="AB321" s="105"/>
      <c r="AC321" s="105"/>
      <c r="AD321" s="105"/>
      <c r="AE321" s="105"/>
    </row>
    <row r="322" ht="14.25" customHeight="1">
      <c r="A322" s="105"/>
      <c r="B322" s="96">
        <v>6.16</v>
      </c>
      <c r="C322" s="200" t="s">
        <v>339</v>
      </c>
      <c r="D322" s="97"/>
      <c r="E322" s="97"/>
      <c r="F322" s="105"/>
      <c r="G322" s="105"/>
      <c r="H322" s="105"/>
      <c r="I322" s="105"/>
      <c r="J322" s="105"/>
      <c r="K322" s="105"/>
      <c r="L322" s="107"/>
      <c r="M322" s="108"/>
      <c r="N322" s="101"/>
      <c r="O322" s="188"/>
      <c r="P322" s="101"/>
      <c r="Q322" s="188"/>
      <c r="R322" s="176"/>
      <c r="S322" s="140"/>
      <c r="T322" s="98"/>
      <c r="U322" s="140"/>
      <c r="V322" s="139"/>
      <c r="W322" s="98"/>
      <c r="X322" s="98">
        <f>IFERROR(__xludf.DUMMYFUNCTION("+W322-R322"),0.0)</f>
        <v>0</v>
      </c>
      <c r="Y322" s="99" t="s">
        <v>745</v>
      </c>
      <c r="Z322" s="105"/>
      <c r="AA322" s="105"/>
      <c r="AB322" s="105"/>
      <c r="AC322" s="105"/>
      <c r="AD322" s="105"/>
      <c r="AE322" s="105"/>
    </row>
    <row r="323" ht="14.25" customHeight="1">
      <c r="B323" s="148" t="s">
        <v>340</v>
      </c>
      <c r="C323" s="144"/>
      <c r="D323" s="70"/>
      <c r="E323" s="70"/>
      <c r="L323" s="61"/>
      <c r="M323" s="62"/>
      <c r="N323" s="63"/>
      <c r="O323" s="62"/>
      <c r="P323" s="63"/>
      <c r="Q323" s="62"/>
      <c r="R323" s="63"/>
      <c r="S323" s="68"/>
      <c r="T323" s="64"/>
      <c r="U323" s="68"/>
      <c r="V323" s="64"/>
      <c r="W323" s="68"/>
      <c r="X323" s="64"/>
      <c r="Y323" s="65"/>
    </row>
    <row r="324" ht="14.25" customHeight="1">
      <c r="B324" s="69">
        <v>6.17</v>
      </c>
      <c r="C324" s="91" t="s">
        <v>341</v>
      </c>
      <c r="D324" s="70"/>
      <c r="E324" s="70"/>
      <c r="L324" s="61"/>
      <c r="M324" s="62"/>
      <c r="N324" s="64">
        <v>779.0</v>
      </c>
      <c r="O324" s="68">
        <v>779.0</v>
      </c>
      <c r="P324" s="64">
        <v>779.0</v>
      </c>
      <c r="Q324" s="68">
        <v>779.0</v>
      </c>
      <c r="R324" s="64">
        <v>779.0</v>
      </c>
      <c r="S324" s="68">
        <v>779.0</v>
      </c>
      <c r="T324" s="64">
        <v>779.0</v>
      </c>
      <c r="U324" s="68">
        <v>779.0</v>
      </c>
      <c r="V324" s="64">
        <v>835.0</v>
      </c>
      <c r="W324" s="68">
        <f>IFERROR(__xludf.DUMMYFUNCTION("+U324"),779.0)</f>
        <v>779</v>
      </c>
      <c r="X324" s="64">
        <f>IFERROR(__xludf.DUMMYFUNCTION("+W324-R324"),0.0)</f>
        <v>0</v>
      </c>
      <c r="Y324" s="65"/>
    </row>
    <row r="325" ht="14.25" customHeight="1">
      <c r="B325" s="69">
        <v>6.18</v>
      </c>
      <c r="C325" s="91" t="s">
        <v>342</v>
      </c>
      <c r="D325" s="70"/>
      <c r="E325" s="70"/>
      <c r="L325" s="61"/>
      <c r="M325" s="62"/>
      <c r="N325" s="114">
        <v>0.2</v>
      </c>
      <c r="O325" s="115">
        <v>0.2</v>
      </c>
      <c r="P325" s="114">
        <v>0.2</v>
      </c>
      <c r="Q325" s="115">
        <v>0.2</v>
      </c>
      <c r="R325" s="114">
        <v>0.8</v>
      </c>
      <c r="S325" s="115">
        <v>1.0</v>
      </c>
      <c r="T325" s="114">
        <v>1.0</v>
      </c>
      <c r="U325" s="115">
        <v>1.0</v>
      </c>
      <c r="V325" s="114">
        <v>1.0</v>
      </c>
      <c r="W325" s="115">
        <v>1.0</v>
      </c>
      <c r="X325" s="114">
        <f>IFERROR(__xludf.DUMMYFUNCTION("+W325-R325"),0.19999999999999996)</f>
        <v>0.2</v>
      </c>
      <c r="Y325" s="65"/>
    </row>
    <row r="326" ht="14.25" customHeight="1">
      <c r="B326" s="69">
        <v>6.19</v>
      </c>
      <c r="C326" s="91" t="s">
        <v>343</v>
      </c>
      <c r="D326" s="70"/>
      <c r="E326" s="70"/>
      <c r="L326" s="61"/>
      <c r="M326" s="62"/>
      <c r="N326" s="114">
        <v>0.9</v>
      </c>
      <c r="O326" s="115">
        <v>0.9</v>
      </c>
      <c r="P326" s="114">
        <v>0.9</v>
      </c>
      <c r="Q326" s="115">
        <v>0.9</v>
      </c>
      <c r="R326" s="114">
        <v>0.9</v>
      </c>
      <c r="S326" s="115"/>
      <c r="T326" s="114"/>
      <c r="U326" s="115"/>
      <c r="V326" s="114">
        <v>1.0</v>
      </c>
      <c r="W326" s="115">
        <v>1.0</v>
      </c>
      <c r="X326" s="114">
        <f>IFERROR(__xludf.DUMMYFUNCTION("+W326-R326"),0.09999999999999998)</f>
        <v>0.1</v>
      </c>
      <c r="Y326" s="95"/>
    </row>
    <row r="327" ht="14.25" customHeight="1">
      <c r="B327" s="227">
        <v>6.2</v>
      </c>
      <c r="C327" s="91" t="s">
        <v>345</v>
      </c>
      <c r="D327" s="70"/>
      <c r="E327" s="70"/>
      <c r="L327" s="61"/>
      <c r="M327" s="62"/>
      <c r="N327" s="114">
        <v>0.95</v>
      </c>
      <c r="O327" s="115">
        <v>0.95</v>
      </c>
      <c r="P327" s="114">
        <v>0.95</v>
      </c>
      <c r="Q327" s="115">
        <v>0.95</v>
      </c>
      <c r="R327" s="114">
        <v>0.95</v>
      </c>
      <c r="S327" s="115">
        <v>1.0</v>
      </c>
      <c r="T327" s="114">
        <v>1.0</v>
      </c>
      <c r="U327" s="115">
        <v>1.0</v>
      </c>
      <c r="V327" s="114">
        <v>1.0</v>
      </c>
      <c r="W327" s="115">
        <f>IFERROR(__xludf.DUMMYFUNCTION("+V327"),1.0)</f>
        <v>1</v>
      </c>
      <c r="X327" s="114">
        <f>IFERROR(__xludf.DUMMYFUNCTION("+W327-R327"),0.050000000000000044)</f>
        <v>0.05</v>
      </c>
      <c r="Y327" s="65"/>
    </row>
    <row r="328" ht="14.25" customHeight="1">
      <c r="B328" s="228">
        <v>6.21</v>
      </c>
      <c r="C328" s="185" t="s">
        <v>346</v>
      </c>
      <c r="D328" s="194"/>
      <c r="E328" s="183"/>
      <c r="L328" s="61"/>
      <c r="M328" s="62"/>
      <c r="N328" s="114"/>
      <c r="O328" s="115"/>
      <c r="P328" s="114"/>
      <c r="Q328" s="115"/>
      <c r="R328" s="114"/>
      <c r="S328" s="230">
        <v>5.0</v>
      </c>
      <c r="T328" s="229">
        <v>6.0</v>
      </c>
      <c r="U328" s="230">
        <v>6.0</v>
      </c>
      <c r="V328" s="229">
        <v>6.0</v>
      </c>
      <c r="W328" s="230">
        <f>IFERROR(__xludf.DUMMYFUNCTION("+U328"),6.0)</f>
        <v>6</v>
      </c>
      <c r="X328" s="229">
        <f>IFERROR(__xludf.DUMMYFUNCTION("+W328-R328"),6.0)</f>
        <v>6</v>
      </c>
      <c r="Y328" s="99"/>
    </row>
    <row r="329" ht="14.25" customHeight="1">
      <c r="B329" s="69">
        <v>6.22</v>
      </c>
      <c r="C329" s="231" t="s">
        <v>347</v>
      </c>
      <c r="D329" s="154"/>
      <c r="L329" s="61"/>
      <c r="M329" s="62"/>
      <c r="N329" s="114"/>
      <c r="O329" s="115"/>
      <c r="P329" s="114"/>
      <c r="Q329" s="115"/>
      <c r="R329" s="169"/>
      <c r="S329" s="230">
        <v>1.0</v>
      </c>
      <c r="T329" s="229">
        <v>1.0</v>
      </c>
      <c r="U329" s="230">
        <v>1.0</v>
      </c>
      <c r="V329" s="229">
        <v>1.0</v>
      </c>
      <c r="W329" s="230">
        <f>IFERROR(__xludf.DUMMYFUNCTION("+U329"),1.0)</f>
        <v>1</v>
      </c>
      <c r="X329" s="229">
        <f>IFERROR(__xludf.DUMMYFUNCTION("+W329-R329"),1.0)</f>
        <v>1</v>
      </c>
      <c r="Y329" s="65"/>
    </row>
    <row r="330" ht="14.25" customHeight="1">
      <c r="B330" s="148" t="s">
        <v>348</v>
      </c>
      <c r="C330" s="183"/>
      <c r="D330" s="154"/>
      <c r="L330" s="61"/>
      <c r="M330" s="62"/>
      <c r="N330" s="63"/>
      <c r="O330" s="62"/>
      <c r="P330" s="63"/>
      <c r="Q330" s="62"/>
      <c r="R330" s="78"/>
      <c r="S330" s="230"/>
      <c r="T330" s="229"/>
      <c r="U330" s="230"/>
      <c r="V330" s="229"/>
      <c r="W330" s="230"/>
      <c r="X330" s="64"/>
      <c r="Y330" s="65"/>
    </row>
    <row r="331" ht="14.25" customHeight="1">
      <c r="A331" s="105"/>
      <c r="B331" s="96">
        <v>6.12</v>
      </c>
      <c r="C331" s="185" t="s">
        <v>349</v>
      </c>
      <c r="D331" s="196"/>
      <c r="E331" s="105"/>
      <c r="F331" s="105"/>
      <c r="G331" s="105"/>
      <c r="H331" s="105"/>
      <c r="I331" s="105"/>
      <c r="J331" s="105"/>
      <c r="K331" s="105"/>
      <c r="L331" s="107"/>
      <c r="M331" s="108"/>
      <c r="N331" s="169"/>
      <c r="O331" s="169"/>
      <c r="P331" s="169"/>
      <c r="Q331" s="169"/>
      <c r="R331" s="169">
        <v>0.55</v>
      </c>
      <c r="S331" s="140"/>
      <c r="T331" s="169"/>
      <c r="U331" s="140"/>
      <c r="V331" s="169"/>
      <c r="W331" s="203" t="str">
        <f>IFERROR(__xludf.DUMMYFUNCTION("+V331"),"")</f>
        <v/>
      </c>
      <c r="X331" s="139"/>
      <c r="Y331" s="99" t="s">
        <v>746</v>
      </c>
      <c r="Z331" s="105"/>
      <c r="AA331" s="105"/>
      <c r="AB331" s="105"/>
      <c r="AC331" s="105"/>
      <c r="AD331" s="105"/>
      <c r="AE331" s="105"/>
    </row>
    <row r="332" ht="14.25" customHeight="1">
      <c r="B332" s="69">
        <v>6.13</v>
      </c>
      <c r="C332" s="231" t="s">
        <v>350</v>
      </c>
      <c r="D332" s="154"/>
      <c r="L332" s="61"/>
      <c r="M332" s="62"/>
      <c r="N332" s="114"/>
      <c r="O332" s="114"/>
      <c r="P332" s="114"/>
      <c r="Q332" s="114"/>
      <c r="R332" s="114">
        <v>0.52</v>
      </c>
      <c r="S332" s="115"/>
      <c r="T332" s="114"/>
      <c r="U332" s="115">
        <v>0.5818</v>
      </c>
      <c r="V332" s="114"/>
      <c r="W332" s="115">
        <f>IFERROR(__xludf.DUMMYFUNCTION("+U332"),0.5818)</f>
        <v>0.5818</v>
      </c>
      <c r="X332" s="114">
        <f>IFERROR(__xludf.DUMMYFUNCTION("+W332-R332"),0.061799999999999966)</f>
        <v>0.0618</v>
      </c>
      <c r="Y332" s="65"/>
    </row>
    <row r="333" ht="14.25" customHeight="1">
      <c r="B333" s="148" t="s">
        <v>351</v>
      </c>
      <c r="C333" s="183"/>
      <c r="D333" s="154"/>
      <c r="L333" s="61"/>
      <c r="M333" s="62"/>
      <c r="N333" s="63"/>
      <c r="O333" s="62"/>
      <c r="P333" s="63"/>
      <c r="Q333" s="62"/>
      <c r="R333" s="78"/>
      <c r="S333" s="68"/>
      <c r="T333" s="64"/>
      <c r="U333" s="68"/>
      <c r="V333" s="64"/>
      <c r="W333" s="68"/>
      <c r="X333" s="64"/>
      <c r="Y333" s="65"/>
    </row>
    <row r="334" ht="14.25" customHeight="1">
      <c r="B334" s="69">
        <v>6.14</v>
      </c>
      <c r="C334" s="231" t="s">
        <v>352</v>
      </c>
      <c r="D334" s="154"/>
      <c r="L334" s="61"/>
      <c r="M334" s="62"/>
      <c r="N334" s="64"/>
      <c r="O334" s="68"/>
      <c r="P334" s="64"/>
      <c r="Q334" s="115">
        <v>0.25</v>
      </c>
      <c r="R334" s="169">
        <v>0.25</v>
      </c>
      <c r="S334" s="115"/>
      <c r="T334" s="64"/>
      <c r="U334" s="68"/>
      <c r="V334" s="114">
        <v>0.25</v>
      </c>
      <c r="W334" s="115">
        <f>IFERROR(__xludf.DUMMYFUNCTION("+V334"),0.25)</f>
        <v>0.25</v>
      </c>
      <c r="X334" s="114">
        <f>IFERROR(__xludf.DUMMYFUNCTION("+W334-R334"),0.0)</f>
        <v>0</v>
      </c>
      <c r="Y334" s="89"/>
    </row>
    <row r="335" ht="14.25" customHeight="1">
      <c r="B335" s="69">
        <v>6.15</v>
      </c>
      <c r="C335" s="231" t="s">
        <v>353</v>
      </c>
      <c r="D335" s="77"/>
      <c r="E335" s="77"/>
      <c r="L335" s="61"/>
      <c r="M335" s="62"/>
      <c r="N335" s="64"/>
      <c r="O335" s="68"/>
      <c r="P335" s="64"/>
      <c r="Q335" s="68"/>
      <c r="R335" s="64"/>
      <c r="S335" s="68"/>
      <c r="T335" s="64"/>
      <c r="U335" s="68"/>
      <c r="V335" s="64"/>
      <c r="W335" s="68"/>
      <c r="X335" s="64"/>
      <c r="Y335" s="65"/>
    </row>
    <row r="336" ht="14.25" customHeight="1">
      <c r="B336" s="69"/>
      <c r="C336" s="231" t="s">
        <v>354</v>
      </c>
      <c r="D336" s="183"/>
      <c r="E336" s="183"/>
      <c r="L336" s="61"/>
      <c r="M336" s="62"/>
      <c r="N336" s="64"/>
      <c r="O336" s="68">
        <v>1.0</v>
      </c>
      <c r="P336" s="64">
        <v>1.0</v>
      </c>
      <c r="Q336" s="68">
        <v>3.0</v>
      </c>
      <c r="R336" s="64">
        <v>5.0</v>
      </c>
      <c r="S336" s="68">
        <v>0.0</v>
      </c>
      <c r="T336" s="64">
        <v>1.0</v>
      </c>
      <c r="U336" s="68">
        <v>2.0</v>
      </c>
      <c r="V336" s="64">
        <v>3.0</v>
      </c>
      <c r="W336" s="68">
        <f t="shared" ref="W336:W339" si="8">SUM(S336:V336)</f>
        <v>6</v>
      </c>
      <c r="X336" s="64">
        <f>IFERROR(__xludf.DUMMYFUNCTION("+W336-R336"),1.0)</f>
        <v>1</v>
      </c>
      <c r="Y336" s="65"/>
    </row>
    <row r="337" ht="14.25" customHeight="1">
      <c r="B337" s="69"/>
      <c r="C337" s="231" t="s">
        <v>355</v>
      </c>
      <c r="D337" s="154"/>
      <c r="L337" s="61"/>
      <c r="M337" s="62"/>
      <c r="N337" s="64">
        <v>6.0</v>
      </c>
      <c r="O337" s="68">
        <v>6.0</v>
      </c>
      <c r="P337" s="64">
        <v>6.0</v>
      </c>
      <c r="Q337" s="68">
        <v>6.0</v>
      </c>
      <c r="R337" s="64">
        <v>24.0</v>
      </c>
      <c r="S337" s="68">
        <v>12.0</v>
      </c>
      <c r="T337" s="64">
        <v>21.0</v>
      </c>
      <c r="U337" s="68">
        <v>26.0</v>
      </c>
      <c r="V337" s="64">
        <v>50.0</v>
      </c>
      <c r="W337" s="68">
        <f t="shared" si="8"/>
        <v>109</v>
      </c>
      <c r="X337" s="64">
        <f>IFERROR(__xludf.DUMMYFUNCTION("+W337-R337"),85.0)</f>
        <v>85</v>
      </c>
      <c r="Y337" s="65"/>
    </row>
    <row r="338" ht="14.25" customHeight="1">
      <c r="B338" s="69"/>
      <c r="C338" s="231" t="s">
        <v>356</v>
      </c>
      <c r="D338" s="70"/>
      <c r="L338" s="61"/>
      <c r="M338" s="62"/>
      <c r="N338" s="64"/>
      <c r="O338" s="68">
        <v>1.0</v>
      </c>
      <c r="P338" s="64">
        <v>1.0</v>
      </c>
      <c r="Q338" s="68">
        <v>1.0</v>
      </c>
      <c r="R338" s="64">
        <v>3.0</v>
      </c>
      <c r="S338" s="64">
        <v>1.0</v>
      </c>
      <c r="T338" s="64">
        <v>1.0</v>
      </c>
      <c r="U338" s="68">
        <v>5.0</v>
      </c>
      <c r="V338" s="64">
        <v>3.0</v>
      </c>
      <c r="W338" s="68">
        <f t="shared" si="8"/>
        <v>10</v>
      </c>
      <c r="X338" s="64">
        <f>IFERROR(__xludf.DUMMYFUNCTION("+W338-R338"),7.0)</f>
        <v>7</v>
      </c>
      <c r="Y338" s="65"/>
    </row>
    <row r="339" ht="14.25" customHeight="1">
      <c r="B339" s="69">
        <v>6.16</v>
      </c>
      <c r="C339" s="231" t="s">
        <v>357</v>
      </c>
      <c r="D339" s="70"/>
      <c r="L339" s="61"/>
      <c r="M339" s="62"/>
      <c r="N339" s="64"/>
      <c r="O339" s="68">
        <v>4.0</v>
      </c>
      <c r="P339" s="64"/>
      <c r="Q339" s="68">
        <v>4.0</v>
      </c>
      <c r="R339" s="64">
        <v>8.0</v>
      </c>
      <c r="S339" s="64">
        <v>3.0</v>
      </c>
      <c r="T339" s="64">
        <v>16.0</v>
      </c>
      <c r="U339" s="68">
        <v>17.0</v>
      </c>
      <c r="V339" s="64">
        <v>16.0</v>
      </c>
      <c r="W339" s="68">
        <f t="shared" si="8"/>
        <v>52</v>
      </c>
      <c r="X339" s="64">
        <f>IFERROR(__xludf.DUMMYFUNCTION("+W339-R339"),44.0)</f>
        <v>44</v>
      </c>
      <c r="Y339" s="65"/>
    </row>
    <row r="340" ht="14.25" customHeight="1">
      <c r="B340" s="148" t="s">
        <v>358</v>
      </c>
      <c r="C340" s="183"/>
      <c r="D340" s="70"/>
      <c r="L340" s="61"/>
      <c r="M340" s="62"/>
      <c r="N340" s="64"/>
      <c r="O340" s="62"/>
      <c r="P340" s="63"/>
      <c r="Q340" s="62"/>
      <c r="R340" s="63"/>
      <c r="S340" s="64"/>
      <c r="T340" s="64"/>
      <c r="U340" s="68"/>
      <c r="V340" s="64"/>
      <c r="W340" s="68"/>
      <c r="X340" s="64"/>
      <c r="Y340" s="65"/>
    </row>
    <row r="341" ht="14.25" customHeight="1">
      <c r="B341" s="69">
        <v>6.17</v>
      </c>
      <c r="C341" s="231" t="s">
        <v>359</v>
      </c>
      <c r="D341" s="70"/>
      <c r="L341" s="61"/>
      <c r="M341" s="62"/>
      <c r="N341" s="139"/>
      <c r="O341" s="140">
        <v>1.0</v>
      </c>
      <c r="P341" s="139"/>
      <c r="Q341" s="140">
        <v>1.0</v>
      </c>
      <c r="R341" s="139">
        <v>2.0</v>
      </c>
      <c r="S341" s="64"/>
      <c r="T341" s="139">
        <v>2.0</v>
      </c>
      <c r="U341" s="68"/>
      <c r="V341" s="64">
        <v>0.0</v>
      </c>
      <c r="W341" s="68">
        <f t="shared" ref="W341:W342" si="9">SUM(S341:V341)</f>
        <v>2</v>
      </c>
      <c r="X341" s="64">
        <f>IFERROR(__xludf.DUMMYFUNCTION("+W341-R341"),0.0)</f>
        <v>0</v>
      </c>
      <c r="Y341" s="95"/>
    </row>
    <row r="342" ht="14.25" customHeight="1">
      <c r="B342" s="69">
        <v>6.18</v>
      </c>
      <c r="C342" s="231" t="s">
        <v>360</v>
      </c>
      <c r="D342" s="70"/>
      <c r="L342" s="61"/>
      <c r="M342" s="62"/>
      <c r="N342" s="139"/>
      <c r="O342" s="140">
        <v>1.0</v>
      </c>
      <c r="P342" s="139"/>
      <c r="Q342" s="140">
        <v>1.0</v>
      </c>
      <c r="R342" s="139">
        <v>2.0</v>
      </c>
      <c r="S342" s="64"/>
      <c r="T342" s="64">
        <v>4.0</v>
      </c>
      <c r="U342" s="68">
        <v>1.0</v>
      </c>
      <c r="V342" s="64">
        <v>0.0</v>
      </c>
      <c r="W342" s="68">
        <f t="shared" si="9"/>
        <v>5</v>
      </c>
      <c r="X342" s="64">
        <f>IFERROR(__xludf.DUMMYFUNCTION("+W342-R342"),3.0)</f>
        <v>3</v>
      </c>
      <c r="Y342" s="65"/>
    </row>
    <row r="343" ht="14.25" customHeight="1">
      <c r="B343" s="148"/>
      <c r="C343" s="183"/>
      <c r="D343" s="70"/>
      <c r="L343" s="61"/>
      <c r="M343" s="62"/>
      <c r="N343" s="64"/>
      <c r="O343" s="62"/>
      <c r="P343" s="63"/>
      <c r="Q343" s="62"/>
      <c r="R343" s="64"/>
      <c r="S343" s="64"/>
      <c r="T343" s="64"/>
      <c r="U343" s="68"/>
      <c r="V343" s="64"/>
      <c r="W343" s="68"/>
      <c r="X343" s="64"/>
      <c r="Y343" s="65"/>
    </row>
    <row r="344" ht="14.25" customHeight="1">
      <c r="B344" s="148" t="s">
        <v>361</v>
      </c>
      <c r="C344" s="183"/>
      <c r="D344" s="70"/>
      <c r="L344" s="61"/>
      <c r="M344" s="62"/>
      <c r="N344" s="64"/>
      <c r="O344" s="62"/>
      <c r="P344" s="63"/>
      <c r="Q344" s="62"/>
      <c r="R344" s="64"/>
      <c r="S344" s="64"/>
      <c r="T344" s="64"/>
      <c r="U344" s="68"/>
      <c r="V344" s="64"/>
      <c r="W344" s="68"/>
      <c r="X344" s="64"/>
      <c r="Y344" s="65"/>
    </row>
    <row r="345" ht="14.25" customHeight="1">
      <c r="B345" s="148" t="s">
        <v>362</v>
      </c>
      <c r="C345" s="183"/>
      <c r="D345" s="70"/>
      <c r="L345" s="61"/>
      <c r="M345" s="62"/>
      <c r="N345" s="64"/>
      <c r="O345" s="62"/>
      <c r="P345" s="63"/>
      <c r="Q345" s="62"/>
      <c r="R345" s="64"/>
      <c r="S345" s="64"/>
      <c r="T345" s="64"/>
      <c r="U345" s="68"/>
      <c r="V345" s="64"/>
      <c r="W345" s="68"/>
      <c r="X345" s="64"/>
      <c r="Y345" s="65"/>
    </row>
    <row r="346" ht="14.25" customHeight="1">
      <c r="B346" s="69">
        <v>7.1</v>
      </c>
      <c r="C346" s="231" t="s">
        <v>363</v>
      </c>
      <c r="D346" s="77"/>
      <c r="E346" s="77"/>
      <c r="L346" s="61"/>
      <c r="M346" s="62"/>
      <c r="N346" s="114">
        <v>0.9</v>
      </c>
      <c r="O346" s="115">
        <v>0.9</v>
      </c>
      <c r="P346" s="114">
        <v>0.9</v>
      </c>
      <c r="Q346" s="115">
        <v>0.9</v>
      </c>
      <c r="R346" s="114">
        <v>0.9</v>
      </c>
      <c r="S346" s="92">
        <v>0.9652</v>
      </c>
      <c r="T346" s="92">
        <v>0.9431</v>
      </c>
      <c r="U346" s="145">
        <v>0.9609756097560975</v>
      </c>
      <c r="V346" s="92">
        <v>0.9182</v>
      </c>
      <c r="W346" s="145">
        <f t="shared" ref="W346:W348" si="10">AVERAGE(S346:V346)</f>
        <v>0.9468689024</v>
      </c>
      <c r="X346" s="92">
        <f>IFERROR(__xludf.DUMMYFUNCTION("+W346-R346"),0.04686890243902442)</f>
        <v>0.04686890244</v>
      </c>
      <c r="Y346" s="65"/>
    </row>
    <row r="347" ht="14.25" customHeight="1">
      <c r="B347" s="69">
        <v>7.2</v>
      </c>
      <c r="C347" s="231" t="s">
        <v>364</v>
      </c>
      <c r="D347" s="77"/>
      <c r="E347" s="77"/>
      <c r="L347" s="61"/>
      <c r="M347" s="62"/>
      <c r="N347" s="114"/>
      <c r="O347" s="115"/>
      <c r="P347" s="114"/>
      <c r="Q347" s="115"/>
      <c r="R347" s="114">
        <v>0.9</v>
      </c>
      <c r="S347" s="92">
        <v>0.5</v>
      </c>
      <c r="T347" s="92">
        <v>0.9394</v>
      </c>
      <c r="U347" s="145">
        <v>0.6793893129770993</v>
      </c>
      <c r="V347" s="92">
        <v>0.6357</v>
      </c>
      <c r="W347" s="145">
        <f t="shared" si="10"/>
        <v>0.6886223282</v>
      </c>
      <c r="X347" s="92">
        <f>IFERROR(__xludf.DUMMYFUNCTION("+W347-R347"),-0.2113776717557252)</f>
        <v>-0.2113776718</v>
      </c>
      <c r="Y347" s="65"/>
    </row>
    <row r="348" ht="14.25" customHeight="1">
      <c r="B348" s="69">
        <v>7.3</v>
      </c>
      <c r="C348" s="231" t="s">
        <v>365</v>
      </c>
      <c r="D348" s="154"/>
      <c r="E348" s="77"/>
      <c r="L348" s="61"/>
      <c r="M348" s="62"/>
      <c r="N348" s="114">
        <v>1.0</v>
      </c>
      <c r="O348" s="115">
        <v>1.0</v>
      </c>
      <c r="P348" s="114">
        <v>1.0</v>
      </c>
      <c r="Q348" s="115">
        <v>1.0</v>
      </c>
      <c r="R348" s="114">
        <v>1.0</v>
      </c>
      <c r="S348" s="92">
        <v>1.0</v>
      </c>
      <c r="T348" s="92">
        <v>1.0</v>
      </c>
      <c r="U348" s="145">
        <v>1.0</v>
      </c>
      <c r="V348" s="92">
        <v>1.0</v>
      </c>
      <c r="W348" s="145">
        <f t="shared" si="10"/>
        <v>1</v>
      </c>
      <c r="X348" s="92">
        <f>IFERROR(__xludf.DUMMYFUNCTION("+W348-R348"),0.0)</f>
        <v>0</v>
      </c>
      <c r="Y348" s="65"/>
    </row>
    <row r="349" ht="14.25" customHeight="1">
      <c r="B349" s="148" t="s">
        <v>366</v>
      </c>
      <c r="C349" s="183"/>
      <c r="D349" s="70"/>
      <c r="E349" s="233"/>
      <c r="L349" s="61"/>
      <c r="M349" s="62"/>
      <c r="N349" s="64"/>
      <c r="O349" s="68"/>
      <c r="P349" s="64"/>
      <c r="Q349" s="68"/>
      <c r="R349" s="63"/>
      <c r="S349" s="64"/>
      <c r="T349" s="64"/>
      <c r="U349" s="68"/>
      <c r="V349" s="64"/>
      <c r="W349" s="68"/>
      <c r="X349" s="64"/>
      <c r="Y349" s="65"/>
    </row>
    <row r="350" ht="14.25" customHeight="1">
      <c r="B350" s="69">
        <v>7.4</v>
      </c>
      <c r="C350" s="231" t="s">
        <v>367</v>
      </c>
      <c r="D350" s="70"/>
      <c r="E350" s="77"/>
      <c r="L350" s="61"/>
      <c r="M350" s="62"/>
      <c r="N350" s="64"/>
      <c r="O350" s="62"/>
      <c r="P350" s="63"/>
      <c r="Q350" s="62"/>
      <c r="R350" s="114"/>
      <c r="S350" s="64"/>
      <c r="T350" s="64"/>
      <c r="U350" s="68"/>
      <c r="V350" s="234" t="s">
        <v>368</v>
      </c>
      <c r="W350" s="68" t="str">
        <f>IFERROR(__xludf.DUMMYFUNCTION("+V350"),"-")</f>
        <v>-</v>
      </c>
      <c r="X350" s="117"/>
      <c r="Y350" s="235"/>
    </row>
    <row r="351" ht="14.25" customHeight="1">
      <c r="B351" s="69">
        <v>7.5</v>
      </c>
      <c r="C351" s="231" t="s">
        <v>369</v>
      </c>
      <c r="D351" s="70"/>
      <c r="E351" s="233"/>
      <c r="L351" s="61"/>
      <c r="M351" s="62"/>
      <c r="N351" s="64" t="s">
        <v>131</v>
      </c>
      <c r="O351" s="68" t="s">
        <v>131</v>
      </c>
      <c r="P351" s="64" t="s">
        <v>131</v>
      </c>
      <c r="Q351" s="68" t="s">
        <v>131</v>
      </c>
      <c r="R351" s="114" t="s">
        <v>131</v>
      </c>
      <c r="S351" s="64"/>
      <c r="T351" s="64"/>
      <c r="U351" s="68"/>
      <c r="V351" s="234" t="s">
        <v>368</v>
      </c>
      <c r="W351" s="68" t="str">
        <f>IFERROR(__xludf.DUMMYFUNCTION("+V351"),"-")</f>
        <v>-</v>
      </c>
      <c r="X351" s="117"/>
      <c r="Y351" s="235" t="s">
        <v>370</v>
      </c>
    </row>
    <row r="352" ht="14.25" customHeight="1">
      <c r="B352" s="69">
        <v>7.6</v>
      </c>
      <c r="C352" s="231" t="s">
        <v>371</v>
      </c>
      <c r="D352" s="70"/>
      <c r="L352" s="61"/>
      <c r="M352" s="62"/>
      <c r="N352" s="64" t="s">
        <v>131</v>
      </c>
      <c r="O352" s="68" t="s">
        <v>131</v>
      </c>
      <c r="P352" s="64" t="s">
        <v>131</v>
      </c>
      <c r="Q352" s="68" t="s">
        <v>131</v>
      </c>
      <c r="R352" s="114" t="s">
        <v>131</v>
      </c>
      <c r="S352" s="64"/>
      <c r="T352" s="114">
        <v>1.0</v>
      </c>
      <c r="U352" s="68"/>
      <c r="V352" s="114"/>
      <c r="W352" s="115" t="str">
        <f>IFERROR(__xludf.DUMMYFUNCTION("+V352"),"")</f>
        <v/>
      </c>
      <c r="X352" s="117"/>
      <c r="Y352" s="236"/>
    </row>
    <row r="353" ht="14.25" customHeight="1">
      <c r="B353" s="148" t="s">
        <v>372</v>
      </c>
      <c r="C353" s="183"/>
      <c r="D353" s="70"/>
      <c r="L353" s="61"/>
      <c r="M353" s="62"/>
      <c r="N353" s="64"/>
      <c r="O353" s="68"/>
      <c r="P353" s="64"/>
      <c r="Q353" s="68"/>
      <c r="R353" s="64"/>
      <c r="S353" s="64"/>
      <c r="T353" s="64"/>
      <c r="U353" s="68"/>
      <c r="V353" s="64"/>
      <c r="W353" s="68"/>
      <c r="X353" s="117"/>
      <c r="Y353" s="63"/>
    </row>
    <row r="354" ht="14.25" customHeight="1">
      <c r="B354" s="69">
        <v>7.7</v>
      </c>
      <c r="C354" s="231" t="s">
        <v>373</v>
      </c>
      <c r="D354" s="70"/>
      <c r="L354" s="61"/>
      <c r="M354" s="62"/>
      <c r="N354" s="64">
        <v>1.0</v>
      </c>
      <c r="O354" s="68">
        <v>1.0</v>
      </c>
      <c r="P354" s="64">
        <v>1.0</v>
      </c>
      <c r="Q354" s="68">
        <v>2.0</v>
      </c>
      <c r="R354" s="235">
        <v>5.0</v>
      </c>
      <c r="S354" s="235">
        <v>2.0</v>
      </c>
      <c r="T354" s="64">
        <v>1.0</v>
      </c>
      <c r="U354" s="237">
        <v>1.0</v>
      </c>
      <c r="V354" s="235">
        <v>3.0</v>
      </c>
      <c r="W354" s="235">
        <v>4.0</v>
      </c>
      <c r="X354" s="64">
        <f>IFERROR(__xludf.DUMMYFUNCTION("+W354-R354"),-1.0)</f>
        <v>-1</v>
      </c>
      <c r="Y354" s="65"/>
    </row>
    <row r="355" ht="31.5" customHeight="1">
      <c r="A355" s="105"/>
      <c r="B355" s="96">
        <v>7.8</v>
      </c>
      <c r="C355" s="185" t="s">
        <v>374</v>
      </c>
      <c r="D355" s="97"/>
      <c r="E355" s="105"/>
      <c r="F355" s="105"/>
      <c r="G355" s="105"/>
      <c r="H355" s="105"/>
      <c r="I355" s="105"/>
      <c r="J355" s="105"/>
      <c r="K355" s="105"/>
      <c r="L355" s="107"/>
      <c r="M355" s="108"/>
      <c r="N355" s="169">
        <v>1.0</v>
      </c>
      <c r="O355" s="203">
        <v>1.0</v>
      </c>
      <c r="P355" s="169">
        <v>1.0</v>
      </c>
      <c r="Q355" s="203">
        <v>1.0</v>
      </c>
      <c r="R355" s="153">
        <v>1.0</v>
      </c>
      <c r="S355" s="163">
        <v>0.75</v>
      </c>
      <c r="T355" s="169">
        <v>0.75</v>
      </c>
      <c r="U355" s="189">
        <v>0.75</v>
      </c>
      <c r="V355" s="153">
        <v>0.75</v>
      </c>
      <c r="W355" s="153">
        <f>IFERROR(__xludf.DUMMYFUNCTION("+U355"),0.75)</f>
        <v>0.75</v>
      </c>
      <c r="X355" s="93">
        <f>IFERROR(__xludf.DUMMYFUNCTION("+W355-R355"),-0.25)</f>
        <v>-0.25</v>
      </c>
      <c r="Y355" s="99" t="s">
        <v>375</v>
      </c>
      <c r="Z355" s="105"/>
      <c r="AA355" s="105"/>
      <c r="AB355" s="105"/>
      <c r="AC355" s="105"/>
      <c r="AD355" s="105"/>
      <c r="AE355" s="105"/>
    </row>
    <row r="356" ht="14.25" customHeight="1">
      <c r="B356" s="69">
        <v>7.9</v>
      </c>
      <c r="C356" s="231" t="s">
        <v>376</v>
      </c>
      <c r="D356" s="70"/>
      <c r="L356" s="61"/>
      <c r="M356" s="62"/>
      <c r="N356" s="101" t="s">
        <v>747</v>
      </c>
      <c r="O356" s="188" t="s">
        <v>747</v>
      </c>
      <c r="P356" s="101" t="s">
        <v>747</v>
      </c>
      <c r="Q356" s="188" t="s">
        <v>747</v>
      </c>
      <c r="R356" s="235" t="s">
        <v>747</v>
      </c>
      <c r="S356" s="235" t="s">
        <v>747</v>
      </c>
      <c r="T356" s="235" t="s">
        <v>748</v>
      </c>
      <c r="U356" s="237" t="s">
        <v>749</v>
      </c>
      <c r="V356" s="235" t="s">
        <v>379</v>
      </c>
      <c r="W356" s="101" t="str">
        <f>IFERROR(__xludf.DUMMYFUNCTION("+V356"),"24 vehicles 
5 motorcycles")</f>
        <v>24 vehicles 
5 motorcycles</v>
      </c>
      <c r="X356" s="64"/>
      <c r="Y356" s="65"/>
    </row>
    <row r="357" ht="14.25" customHeight="1">
      <c r="B357" s="69">
        <v>7.1</v>
      </c>
      <c r="C357" s="231" t="s">
        <v>381</v>
      </c>
      <c r="D357" s="77"/>
      <c r="L357" s="61"/>
      <c r="M357" s="62"/>
      <c r="N357" s="64"/>
      <c r="O357" s="62"/>
      <c r="P357" s="114"/>
      <c r="Q357" s="115"/>
      <c r="R357" s="239"/>
      <c r="S357" s="239"/>
      <c r="T357" s="235"/>
      <c r="U357" s="237"/>
      <c r="V357" s="235"/>
      <c r="W357" s="163" t="str">
        <f>IFERROR(__xludf.DUMMYFUNCTION("+V357"),"")</f>
        <v/>
      </c>
      <c r="X357" s="64"/>
      <c r="Y357" s="99"/>
    </row>
    <row r="358" ht="87.75" customHeight="1">
      <c r="A358" s="105"/>
      <c r="B358" s="96"/>
      <c r="C358" s="240" t="s">
        <v>382</v>
      </c>
      <c r="D358" s="126"/>
      <c r="E358" s="105"/>
      <c r="F358" s="105"/>
      <c r="G358" s="105"/>
      <c r="H358" s="105"/>
      <c r="I358" s="105"/>
      <c r="J358" s="105"/>
      <c r="K358" s="105"/>
      <c r="L358" s="107"/>
      <c r="M358" s="108"/>
      <c r="N358" s="139"/>
      <c r="O358" s="108"/>
      <c r="P358" s="169"/>
      <c r="Q358" s="203"/>
      <c r="R358" s="163"/>
      <c r="S358" s="163"/>
      <c r="T358" s="101"/>
      <c r="U358" s="188"/>
      <c r="V358" s="101"/>
      <c r="W358" s="216"/>
      <c r="X358" s="139"/>
      <c r="Y358" s="99" t="s">
        <v>750</v>
      </c>
      <c r="Z358" s="105"/>
      <c r="AA358" s="105"/>
      <c r="AB358" s="105"/>
      <c r="AC358" s="105"/>
      <c r="AD358" s="105"/>
      <c r="AE358" s="105"/>
    </row>
    <row r="359" ht="112.5" customHeight="1">
      <c r="A359" s="105"/>
      <c r="B359" s="96"/>
      <c r="C359" s="240" t="s">
        <v>384</v>
      </c>
      <c r="D359" s="126"/>
      <c r="E359" s="105"/>
      <c r="F359" s="105"/>
      <c r="G359" s="105"/>
      <c r="H359" s="105"/>
      <c r="I359" s="105"/>
      <c r="J359" s="105"/>
      <c r="K359" s="105"/>
      <c r="L359" s="107"/>
      <c r="M359" s="108"/>
      <c r="N359" s="139"/>
      <c r="O359" s="108"/>
      <c r="P359" s="169"/>
      <c r="Q359" s="203"/>
      <c r="R359" s="163"/>
      <c r="S359" s="163"/>
      <c r="T359" s="101"/>
      <c r="U359" s="188"/>
      <c r="V359" s="101"/>
      <c r="W359" s="216"/>
      <c r="X359" s="139"/>
      <c r="Y359" s="99" t="s">
        <v>751</v>
      </c>
      <c r="Z359" s="105"/>
      <c r="AA359" s="105"/>
      <c r="AB359" s="105"/>
      <c r="AC359" s="105"/>
      <c r="AD359" s="105"/>
      <c r="AE359" s="105"/>
    </row>
    <row r="360" ht="14.25" customHeight="1">
      <c r="B360" s="148" t="s">
        <v>386</v>
      </c>
      <c r="C360" s="183"/>
      <c r="D360" s="77"/>
      <c r="L360" s="61"/>
      <c r="M360" s="62"/>
      <c r="N360" s="63"/>
      <c r="O360" s="62"/>
      <c r="P360" s="63"/>
      <c r="Q360" s="62"/>
      <c r="R360" s="63"/>
      <c r="S360" s="63"/>
      <c r="T360" s="64"/>
      <c r="U360" s="68"/>
      <c r="V360" s="64"/>
      <c r="W360" s="68"/>
      <c r="X360" s="64"/>
      <c r="Y360" s="65"/>
    </row>
    <row r="361" ht="14.25" customHeight="1">
      <c r="B361" s="69">
        <v>7.11</v>
      </c>
      <c r="C361" s="231" t="s">
        <v>387</v>
      </c>
      <c r="D361" s="154"/>
      <c r="L361" s="61"/>
      <c r="M361" s="62"/>
      <c r="N361" s="63"/>
      <c r="O361" s="62"/>
      <c r="P361" s="63"/>
      <c r="Q361" s="62"/>
      <c r="R361" s="114"/>
      <c r="S361" s="92"/>
      <c r="T361" s="92"/>
      <c r="U361" s="145"/>
      <c r="V361" s="114"/>
      <c r="W361" s="145"/>
      <c r="X361" s="92"/>
      <c r="Y361" s="65"/>
    </row>
    <row r="362" ht="14.25" customHeight="1">
      <c r="B362" s="69"/>
      <c r="C362" s="231" t="s">
        <v>388</v>
      </c>
      <c r="D362" s="70"/>
      <c r="L362" s="61"/>
      <c r="M362" s="62"/>
      <c r="N362" s="169">
        <v>0.25</v>
      </c>
      <c r="O362" s="203">
        <v>0.5</v>
      </c>
      <c r="P362" s="169">
        <v>0.75</v>
      </c>
      <c r="Q362" s="203">
        <v>1.0</v>
      </c>
      <c r="R362" s="114">
        <v>1.0</v>
      </c>
      <c r="S362" s="92">
        <v>0.9837</v>
      </c>
      <c r="T362" s="92">
        <v>0.4233</v>
      </c>
      <c r="U362" s="145">
        <v>0.6155453430827561</v>
      </c>
      <c r="V362" s="92">
        <v>0.953</v>
      </c>
      <c r="W362" s="145">
        <f t="shared" ref="W362:W363" si="11">V362</f>
        <v>0.953</v>
      </c>
      <c r="X362" s="92">
        <f>IFERROR(__xludf.DUMMYFUNCTION("+W362-R362"),-0.04700000000000004)</f>
        <v>-0.047</v>
      </c>
      <c r="Y362" s="65"/>
    </row>
    <row r="363" ht="14.25" customHeight="1">
      <c r="B363" s="69"/>
      <c r="C363" s="231" t="s">
        <v>389</v>
      </c>
      <c r="D363" s="70"/>
      <c r="L363" s="61"/>
      <c r="M363" s="62"/>
      <c r="N363" s="64"/>
      <c r="O363" s="62"/>
      <c r="P363" s="63"/>
      <c r="Q363" s="62"/>
      <c r="R363" s="114">
        <v>1.0</v>
      </c>
      <c r="S363" s="92">
        <v>0.8805</v>
      </c>
      <c r="T363" s="92">
        <v>0.8425</v>
      </c>
      <c r="U363" s="145">
        <v>0.865809992516502</v>
      </c>
      <c r="V363" s="92">
        <v>0.7812</v>
      </c>
      <c r="W363" s="145">
        <f t="shared" si="11"/>
        <v>0.7812</v>
      </c>
      <c r="X363" s="92">
        <f>IFERROR(__xludf.DUMMYFUNCTION("+W363-R363"),-0.2188)</f>
        <v>-0.2188</v>
      </c>
      <c r="Y363" s="65"/>
    </row>
    <row r="364" ht="14.25" hidden="1" customHeight="1">
      <c r="B364" s="69"/>
      <c r="C364" s="231" t="s">
        <v>390</v>
      </c>
      <c r="D364" s="70"/>
      <c r="L364" s="61"/>
      <c r="M364" s="62"/>
      <c r="N364" s="64"/>
      <c r="O364" s="62"/>
      <c r="P364" s="63"/>
      <c r="Q364" s="62"/>
      <c r="R364" s="114">
        <v>1.0</v>
      </c>
      <c r="S364" s="92">
        <v>0.6483</v>
      </c>
      <c r="T364" s="92">
        <v>1.0</v>
      </c>
      <c r="U364" s="145"/>
      <c r="V364" s="92"/>
      <c r="W364" s="145">
        <f>T364</f>
        <v>1</v>
      </c>
      <c r="X364" s="92">
        <f>IFERROR(__xludf.DUMMYFUNCTION("+W364-R364"),0.0)</f>
        <v>0</v>
      </c>
      <c r="Y364" s="65"/>
    </row>
    <row r="365" ht="14.25" customHeight="1">
      <c r="B365" s="69">
        <v>7.12</v>
      </c>
      <c r="C365" s="231" t="s">
        <v>391</v>
      </c>
      <c r="D365" s="70"/>
      <c r="E365" s="77"/>
      <c r="L365" s="61"/>
      <c r="M365" s="62"/>
      <c r="N365" s="64"/>
      <c r="O365" s="62"/>
      <c r="P365" s="63"/>
      <c r="Q365" s="62"/>
      <c r="R365" s="114"/>
      <c r="S365" s="92"/>
      <c r="T365" s="92"/>
      <c r="U365" s="145"/>
      <c r="V365" s="92"/>
      <c r="W365" s="145"/>
      <c r="X365" s="92"/>
      <c r="Y365" s="65"/>
    </row>
    <row r="366" ht="14.25" customHeight="1">
      <c r="B366" s="69"/>
      <c r="C366" s="231" t="s">
        <v>392</v>
      </c>
      <c r="D366" s="70"/>
      <c r="E366" s="77"/>
      <c r="L366" s="61"/>
      <c r="M366" s="62"/>
      <c r="N366" s="64"/>
      <c r="O366" s="62"/>
      <c r="P366" s="63"/>
      <c r="Q366" s="62"/>
      <c r="R366" s="114">
        <v>1.0</v>
      </c>
      <c r="S366" s="92">
        <v>0.2707</v>
      </c>
      <c r="T366" s="92">
        <v>0.0753</v>
      </c>
      <c r="U366" s="145">
        <v>0.2616645578871304</v>
      </c>
      <c r="V366" s="92">
        <v>0.9808</v>
      </c>
      <c r="W366" s="145">
        <f>V366</f>
        <v>0.9808</v>
      </c>
      <c r="X366" s="92">
        <f>IFERROR(__xludf.DUMMYFUNCTION("+W366-R366"),-0.019199999999999995)</f>
        <v>-0.0192</v>
      </c>
      <c r="Y366" s="65"/>
    </row>
    <row r="367" ht="14.25" customHeight="1">
      <c r="B367" s="69"/>
      <c r="C367" s="231" t="s">
        <v>393</v>
      </c>
      <c r="D367" s="70"/>
      <c r="E367" s="233"/>
      <c r="L367" s="61"/>
      <c r="M367" s="62"/>
      <c r="N367" s="64"/>
      <c r="O367" s="62"/>
      <c r="P367" s="63"/>
      <c r="Q367" s="62"/>
      <c r="R367" s="114"/>
      <c r="S367" s="92"/>
      <c r="T367" s="92"/>
      <c r="U367" s="145"/>
      <c r="V367" s="92"/>
      <c r="W367" s="145"/>
      <c r="X367" s="92"/>
      <c r="Y367" s="65"/>
    </row>
    <row r="368" ht="14.25" customHeight="1">
      <c r="B368" s="69"/>
      <c r="C368" s="231" t="s">
        <v>752</v>
      </c>
      <c r="D368" s="70"/>
      <c r="E368" s="77"/>
      <c r="L368" s="61"/>
      <c r="M368" s="62"/>
      <c r="N368" s="64"/>
      <c r="O368" s="62"/>
      <c r="P368" s="63"/>
      <c r="Q368" s="62"/>
      <c r="R368" s="169">
        <v>1.0</v>
      </c>
      <c r="S368" s="93">
        <v>0.004436698418465607</v>
      </c>
      <c r="T368" s="94">
        <v>0.7716936206710362</v>
      </c>
      <c r="U368" s="92">
        <v>0.21563156609924317</v>
      </c>
      <c r="V368" s="92">
        <v>0.9246</v>
      </c>
      <c r="W368" s="93">
        <f>IFERROR(__xludf.DUMMYFUNCTION("+V368"),0.9246)</f>
        <v>0.9246</v>
      </c>
      <c r="X368" s="93">
        <f>IFERROR(__xludf.DUMMYFUNCTION("+W368-R368"),-0.07540000000000002)</f>
        <v>-0.0754</v>
      </c>
      <c r="Y368" s="65"/>
    </row>
    <row r="369" ht="14.25" customHeight="1">
      <c r="B369" s="69"/>
      <c r="C369" s="231" t="s">
        <v>753</v>
      </c>
      <c r="D369" s="70"/>
      <c r="E369" s="233"/>
      <c r="L369" s="61"/>
      <c r="M369" s="62"/>
      <c r="N369" s="64"/>
      <c r="O369" s="62"/>
      <c r="P369" s="63"/>
      <c r="Q369" s="62"/>
      <c r="R369" s="169">
        <v>1.0</v>
      </c>
      <c r="S369" s="93">
        <v>0.9820646238963331</v>
      </c>
      <c r="T369" s="94">
        <v>1.0</v>
      </c>
      <c r="U369" s="92">
        <v>0.2157038613317545</v>
      </c>
      <c r="V369" s="92">
        <v>1.0</v>
      </c>
      <c r="W369" s="93">
        <f>IFERROR(__xludf.DUMMYFUNCTION("+V369"),1.0)</f>
        <v>1</v>
      </c>
      <c r="X369" s="93">
        <f>IFERROR(__xludf.DUMMYFUNCTION("+W369-R369"),0.0)</f>
        <v>0</v>
      </c>
      <c r="Y369" s="65"/>
    </row>
    <row r="370" ht="14.25" customHeight="1">
      <c r="B370" s="69"/>
      <c r="C370" s="231" t="s">
        <v>396</v>
      </c>
      <c r="D370" s="154"/>
      <c r="L370" s="61"/>
      <c r="M370" s="62"/>
      <c r="N370" s="64"/>
      <c r="O370" s="62"/>
      <c r="P370" s="63"/>
      <c r="Q370" s="62"/>
      <c r="R370" s="114"/>
      <c r="S370" s="92"/>
      <c r="T370" s="92"/>
      <c r="U370" s="145"/>
      <c r="V370" s="92"/>
      <c r="W370" s="145"/>
      <c r="X370" s="92"/>
      <c r="Y370" s="65"/>
    </row>
    <row r="371" ht="14.25" customHeight="1">
      <c r="B371" s="69"/>
      <c r="C371" s="231" t="s">
        <v>397</v>
      </c>
      <c r="D371" s="154"/>
      <c r="L371" s="61"/>
      <c r="M371" s="62"/>
      <c r="N371" s="64"/>
      <c r="O371" s="62"/>
      <c r="P371" s="63"/>
      <c r="Q371" s="62"/>
      <c r="R371" s="114">
        <v>1.0</v>
      </c>
      <c r="S371" s="241"/>
      <c r="T371" s="241"/>
      <c r="U371" s="145"/>
      <c r="V371" s="92"/>
      <c r="W371" s="241"/>
      <c r="X371" s="241"/>
      <c r="Y371" s="65"/>
    </row>
    <row r="372" ht="14.25" customHeight="1">
      <c r="B372" s="69"/>
      <c r="C372" s="231" t="s">
        <v>398</v>
      </c>
      <c r="D372" s="70"/>
      <c r="L372" s="61"/>
      <c r="M372" s="62"/>
      <c r="N372" s="63"/>
      <c r="O372" s="62"/>
      <c r="P372" s="63"/>
      <c r="Q372" s="62"/>
      <c r="R372" s="114">
        <v>1.0</v>
      </c>
      <c r="S372" s="92">
        <v>0.3675347686155681</v>
      </c>
      <c r="T372" s="92">
        <v>0.4346806098620562</v>
      </c>
      <c r="U372" s="145">
        <v>0.538522268303944</v>
      </c>
      <c r="V372" s="92">
        <v>0.6272</v>
      </c>
      <c r="W372" s="92">
        <f>IFERROR(__xludf.DUMMYFUNCTION("+V372"),0.6272)</f>
        <v>0.6272</v>
      </c>
      <c r="X372" s="92">
        <f>IFERROR(__xludf.DUMMYFUNCTION("+W372-R372"),-0.3728)</f>
        <v>-0.3728</v>
      </c>
      <c r="Y372" s="65"/>
    </row>
    <row r="373" ht="14.25" customHeight="1">
      <c r="B373" s="69">
        <v>7.13</v>
      </c>
      <c r="C373" s="231" t="s">
        <v>399</v>
      </c>
      <c r="D373" s="144"/>
      <c r="L373" s="61"/>
      <c r="M373" s="62"/>
      <c r="N373" s="63"/>
      <c r="O373" s="62"/>
      <c r="P373" s="63"/>
      <c r="Q373" s="62"/>
      <c r="R373" s="114">
        <v>1.0</v>
      </c>
      <c r="S373" s="92">
        <v>0.9356</v>
      </c>
      <c r="T373" s="92">
        <v>0.9594</v>
      </c>
      <c r="U373" s="145">
        <v>1.0</v>
      </c>
      <c r="V373" s="92"/>
      <c r="W373" s="145">
        <f t="shared" ref="W373:W374" si="12">U373</f>
        <v>1</v>
      </c>
      <c r="X373" s="92">
        <f>IFERROR(__xludf.DUMMYFUNCTION("+W373-R373"),0.0)</f>
        <v>0</v>
      </c>
      <c r="Y373" s="65"/>
    </row>
    <row r="374" ht="14.25" customHeight="1">
      <c r="B374" s="69">
        <v>7.14</v>
      </c>
      <c r="C374" s="231" t="s">
        <v>400</v>
      </c>
      <c r="D374" s="70"/>
      <c r="L374" s="61"/>
      <c r="M374" s="62"/>
      <c r="N374" s="64"/>
      <c r="O374" s="62"/>
      <c r="P374" s="63"/>
      <c r="Q374" s="62"/>
      <c r="R374" s="114">
        <v>1.0</v>
      </c>
      <c r="S374" s="92">
        <v>0.9776</v>
      </c>
      <c r="T374" s="92">
        <v>0.9776</v>
      </c>
      <c r="U374" s="145">
        <v>1.0</v>
      </c>
      <c r="V374" s="92"/>
      <c r="W374" s="145">
        <f t="shared" si="12"/>
        <v>1</v>
      </c>
      <c r="X374" s="92">
        <f>IFERROR(__xludf.DUMMYFUNCTION("+W374-R374"),0.0)</f>
        <v>0</v>
      </c>
      <c r="Y374" s="65"/>
    </row>
    <row r="375" ht="14.25" customHeight="1">
      <c r="B375" s="148" t="s">
        <v>401</v>
      </c>
      <c r="C375" s="183"/>
      <c r="D375" s="70"/>
      <c r="L375" s="61"/>
      <c r="M375" s="62"/>
      <c r="N375" s="64"/>
      <c r="O375" s="62"/>
      <c r="P375" s="63"/>
      <c r="Q375" s="62"/>
      <c r="R375" s="63"/>
      <c r="S375" s="64"/>
      <c r="T375" s="64"/>
      <c r="U375" s="68"/>
      <c r="V375" s="92"/>
      <c r="W375" s="68"/>
      <c r="X375" s="64"/>
      <c r="Y375" s="65"/>
    </row>
    <row r="376" ht="14.25" customHeight="1">
      <c r="B376" s="69">
        <v>7.15</v>
      </c>
      <c r="C376" s="231" t="s">
        <v>402</v>
      </c>
      <c r="D376" s="70"/>
      <c r="L376" s="61"/>
      <c r="M376" s="62"/>
      <c r="N376" s="64"/>
      <c r="O376" s="62"/>
      <c r="P376" s="63"/>
      <c r="Q376" s="62"/>
      <c r="R376" s="114">
        <v>0.85</v>
      </c>
      <c r="S376" s="92">
        <v>0.35</v>
      </c>
      <c r="T376" s="114">
        <v>0.5</v>
      </c>
      <c r="U376" s="145">
        <v>0.2</v>
      </c>
      <c r="V376" s="92">
        <v>0.3862</v>
      </c>
      <c r="W376" s="145">
        <f>AVERAGE(S376:V376)</f>
        <v>0.35905</v>
      </c>
      <c r="X376" s="242">
        <f>IFERROR(__xludf.DUMMYFUNCTION("+W376-R376"),-0.49095)</f>
        <v>-0.49095</v>
      </c>
      <c r="Y376" s="65"/>
    </row>
    <row r="377" ht="14.25" customHeight="1">
      <c r="B377" s="69">
        <v>7.16</v>
      </c>
      <c r="C377" s="231" t="s">
        <v>404</v>
      </c>
      <c r="D377" s="70"/>
      <c r="L377" s="61"/>
      <c r="M377" s="62"/>
      <c r="N377" s="64"/>
      <c r="O377" s="62"/>
      <c r="P377" s="63"/>
      <c r="Q377" s="62"/>
      <c r="R377" s="114">
        <v>1.0</v>
      </c>
      <c r="S377" s="92">
        <v>0.4</v>
      </c>
      <c r="T377" s="92">
        <v>0.5</v>
      </c>
      <c r="U377" s="145">
        <v>0.25</v>
      </c>
      <c r="V377" s="92">
        <v>1.0</v>
      </c>
      <c r="W377" s="145">
        <f>V377</f>
        <v>1</v>
      </c>
      <c r="X377" s="242">
        <f>IFERROR(__xludf.DUMMYFUNCTION("+W377-R377"),0.0)</f>
        <v>0</v>
      </c>
      <c r="Y377" s="65"/>
    </row>
    <row r="378" ht="15.75" customHeight="1">
      <c r="B378" s="243"/>
      <c r="C378" s="244"/>
      <c r="D378" s="245"/>
      <c r="E378" s="246"/>
      <c r="F378" s="247"/>
      <c r="G378" s="247"/>
      <c r="H378" s="244"/>
      <c r="I378" s="244"/>
      <c r="J378" s="244"/>
      <c r="K378" s="244"/>
      <c r="L378" s="248"/>
      <c r="M378" s="249"/>
      <c r="N378" s="250"/>
      <c r="O378" s="251"/>
      <c r="P378" s="250"/>
      <c r="Q378" s="251"/>
      <c r="R378" s="250"/>
      <c r="S378" s="251"/>
      <c r="T378" s="250"/>
      <c r="U378" s="251"/>
      <c r="V378" s="252"/>
      <c r="W378" s="251"/>
      <c r="X378" s="250"/>
      <c r="Y378" s="253"/>
    </row>
    <row r="379" ht="14.25" customHeight="1">
      <c r="N379" s="206"/>
      <c r="O379" s="206"/>
      <c r="P379" s="206"/>
      <c r="Q379" s="206"/>
      <c r="R379" s="206"/>
      <c r="S379" s="206"/>
      <c r="T379" s="206"/>
      <c r="U379" s="206"/>
      <c r="V379" s="206"/>
      <c r="W379" s="206"/>
      <c r="X379" s="206"/>
    </row>
    <row r="380" ht="14.25" customHeight="1">
      <c r="N380" s="206"/>
      <c r="O380" s="206"/>
      <c r="P380" s="206"/>
      <c r="Q380" s="206"/>
      <c r="R380" s="206"/>
      <c r="S380" s="206"/>
      <c r="T380" s="206"/>
      <c r="U380" s="206"/>
      <c r="V380" s="206"/>
      <c r="W380" s="206"/>
      <c r="X380" s="206"/>
    </row>
    <row r="381" ht="14.25" customHeight="1">
      <c r="S381" s="206"/>
      <c r="T381" s="206"/>
      <c r="U381" s="206"/>
      <c r="V381" s="206"/>
      <c r="W381" s="206"/>
      <c r="X381" s="206"/>
    </row>
    <row r="382" ht="14.25" customHeight="1">
      <c r="B382" s="260" t="s">
        <v>405</v>
      </c>
      <c r="C382" s="260"/>
      <c r="D382" s="260"/>
      <c r="E382" s="260"/>
      <c r="F382" s="260"/>
      <c r="G382" s="260"/>
      <c r="H382" s="260"/>
      <c r="I382" s="260"/>
      <c r="J382" s="260"/>
      <c r="K382" s="260"/>
      <c r="L382" s="260"/>
      <c r="M382" s="260" t="s">
        <v>406</v>
      </c>
      <c r="N382" s="260"/>
      <c r="O382" s="260"/>
      <c r="P382" s="260"/>
      <c r="Q382" s="260"/>
      <c r="R382" s="260"/>
      <c r="S382" s="261"/>
      <c r="T382" s="261"/>
      <c r="U382" s="261"/>
      <c r="V382" s="261" t="s">
        <v>407</v>
      </c>
      <c r="W382" s="261"/>
      <c r="X382" s="256"/>
    </row>
    <row r="383" ht="14.25" customHeight="1">
      <c r="B383" s="260"/>
      <c r="C383" s="260"/>
      <c r="D383" s="260"/>
      <c r="E383" s="260"/>
      <c r="F383" s="260"/>
      <c r="G383" s="260"/>
      <c r="H383" s="260"/>
      <c r="I383" s="260"/>
      <c r="J383" s="260"/>
      <c r="K383" s="260"/>
      <c r="L383" s="260"/>
      <c r="M383" s="260"/>
      <c r="N383" s="260"/>
      <c r="O383" s="260"/>
      <c r="P383" s="260"/>
      <c r="Q383" s="260"/>
      <c r="R383" s="260"/>
      <c r="S383" s="261"/>
      <c r="T383" s="261"/>
      <c r="U383" s="261"/>
      <c r="V383" s="261"/>
      <c r="W383" s="261"/>
      <c r="X383" s="256"/>
    </row>
    <row r="384" ht="14.25" customHeight="1">
      <c r="B384" s="260"/>
      <c r="C384" s="260"/>
      <c r="D384" s="260"/>
      <c r="E384" s="260"/>
      <c r="F384" s="260"/>
      <c r="G384" s="260"/>
      <c r="H384" s="260"/>
      <c r="I384" s="260"/>
      <c r="J384" s="260"/>
      <c r="K384" s="260"/>
      <c r="L384" s="260"/>
      <c r="M384" s="260"/>
      <c r="N384" s="260"/>
      <c r="O384" s="260"/>
      <c r="P384" s="260"/>
      <c r="Q384" s="260"/>
      <c r="R384" s="260"/>
      <c r="S384" s="261"/>
      <c r="T384" s="261"/>
      <c r="U384" s="261"/>
      <c r="V384" s="261"/>
      <c r="W384" s="261"/>
      <c r="X384" s="256"/>
    </row>
    <row r="385" ht="14.25" customHeight="1">
      <c r="B385" s="260"/>
      <c r="C385" s="260"/>
      <c r="D385" s="260"/>
      <c r="E385" s="260"/>
      <c r="F385" s="260"/>
      <c r="G385" s="260"/>
      <c r="H385" s="260"/>
      <c r="I385" s="260"/>
      <c r="J385" s="260"/>
      <c r="K385" s="260"/>
      <c r="L385" s="260"/>
      <c r="M385" s="260"/>
      <c r="N385" s="260"/>
      <c r="O385" s="260"/>
      <c r="P385" s="260"/>
      <c r="Q385" s="260"/>
      <c r="R385" s="260"/>
      <c r="S385" s="261"/>
      <c r="T385" s="261"/>
      <c r="U385" s="261"/>
      <c r="V385" s="261"/>
      <c r="W385" s="261"/>
      <c r="X385" s="256"/>
    </row>
    <row r="386" ht="14.25" customHeight="1">
      <c r="B386" s="260"/>
      <c r="C386" s="260"/>
      <c r="D386" s="260"/>
      <c r="E386" s="260"/>
      <c r="F386" s="260"/>
      <c r="G386" s="260"/>
      <c r="H386" s="260"/>
      <c r="I386" s="260"/>
      <c r="J386" s="260"/>
      <c r="K386" s="260"/>
      <c r="L386" s="260"/>
      <c r="M386" s="260"/>
      <c r="N386" s="260"/>
      <c r="O386" s="260"/>
      <c r="P386" s="260"/>
      <c r="Q386" s="260"/>
      <c r="R386" s="260"/>
      <c r="S386" s="261"/>
      <c r="T386" s="261"/>
      <c r="U386" s="261"/>
      <c r="V386" s="261"/>
      <c r="W386" s="261"/>
      <c r="X386" s="256"/>
    </row>
    <row r="387" ht="14.25" customHeight="1">
      <c r="B387" s="518" t="s">
        <v>408</v>
      </c>
      <c r="C387" s="260"/>
      <c r="D387" s="260"/>
      <c r="E387" s="260"/>
      <c r="F387" s="260"/>
      <c r="G387" s="260"/>
      <c r="H387" s="260"/>
      <c r="I387" s="260"/>
      <c r="J387" s="260"/>
      <c r="K387" s="260"/>
      <c r="L387" s="260"/>
      <c r="M387" s="518" t="s">
        <v>409</v>
      </c>
      <c r="N387" s="260"/>
      <c r="O387" s="260"/>
      <c r="P387" s="260"/>
      <c r="Q387" s="260"/>
      <c r="R387" s="260"/>
      <c r="S387" s="261"/>
      <c r="T387" s="261"/>
      <c r="U387" s="261"/>
      <c r="V387" s="519" t="s">
        <v>410</v>
      </c>
      <c r="W387" s="261"/>
      <c r="X387" s="256"/>
    </row>
    <row r="388" ht="14.25" customHeight="1">
      <c r="B388" s="260" t="s">
        <v>411</v>
      </c>
      <c r="C388" s="260"/>
      <c r="D388" s="260"/>
      <c r="E388" s="260"/>
      <c r="F388" s="260"/>
      <c r="G388" s="260"/>
      <c r="H388" s="260"/>
      <c r="I388" s="260"/>
      <c r="J388" s="260"/>
      <c r="K388" s="260"/>
      <c r="L388" s="260"/>
      <c r="M388" s="260" t="s">
        <v>412</v>
      </c>
      <c r="N388" s="260"/>
      <c r="O388" s="260"/>
      <c r="P388" s="260"/>
      <c r="Q388" s="260"/>
      <c r="R388" s="260"/>
      <c r="S388" s="261"/>
      <c r="T388" s="261"/>
      <c r="U388" s="261"/>
      <c r="V388" s="520" t="s">
        <v>413</v>
      </c>
      <c r="W388" s="261"/>
      <c r="X388" s="256"/>
    </row>
    <row r="389" ht="14.25" customHeight="1">
      <c r="B389" s="260"/>
      <c r="C389" s="260"/>
      <c r="D389" s="260"/>
      <c r="E389" s="260"/>
      <c r="F389" s="260"/>
      <c r="G389" s="260"/>
      <c r="H389" s="260"/>
      <c r="I389" s="260"/>
      <c r="J389" s="260"/>
      <c r="K389" s="260"/>
      <c r="L389" s="260"/>
      <c r="M389" s="260"/>
      <c r="N389" s="260"/>
      <c r="O389" s="260"/>
      <c r="P389" s="260"/>
      <c r="Q389" s="260"/>
      <c r="R389" s="260"/>
      <c r="S389" s="261"/>
      <c r="T389" s="261"/>
      <c r="U389" s="261"/>
      <c r="V389" s="261"/>
      <c r="W389" s="261"/>
      <c r="X389" s="256"/>
    </row>
    <row r="390" ht="14.25" customHeight="1">
      <c r="B390" s="260"/>
      <c r="C390" s="260"/>
      <c r="D390" s="260"/>
      <c r="E390" s="260"/>
      <c r="F390" s="260"/>
      <c r="G390" s="260"/>
      <c r="H390" s="260"/>
      <c r="I390" s="260"/>
      <c r="J390" s="260"/>
      <c r="K390" s="260"/>
      <c r="L390" s="260"/>
      <c r="M390" s="260"/>
      <c r="N390" s="260"/>
      <c r="O390" s="260"/>
      <c r="P390" s="260"/>
      <c r="Q390" s="260"/>
      <c r="R390" s="260"/>
      <c r="S390" s="261"/>
      <c r="T390" s="261"/>
      <c r="U390" s="261"/>
      <c r="V390" s="261"/>
      <c r="W390" s="261"/>
      <c r="X390" s="256"/>
    </row>
    <row r="391" ht="14.25" customHeight="1">
      <c r="B391" s="262"/>
      <c r="C391" s="262"/>
      <c r="D391" s="262"/>
      <c r="E391" s="262"/>
      <c r="F391" s="262"/>
      <c r="G391" s="262"/>
      <c r="H391" s="262"/>
      <c r="I391" s="262"/>
      <c r="J391" s="262"/>
      <c r="K391" s="262"/>
      <c r="L391" s="262"/>
      <c r="M391" s="262"/>
      <c r="N391" s="262"/>
      <c r="O391" s="262"/>
      <c r="P391" s="262"/>
      <c r="Q391" s="262"/>
      <c r="R391" s="262"/>
      <c r="S391" s="263"/>
      <c r="T391" s="263"/>
      <c r="U391" s="263"/>
      <c r="V391" s="263"/>
      <c r="W391" s="263"/>
      <c r="X391" s="256"/>
    </row>
    <row r="392" ht="14.25" customHeight="1">
      <c r="B392" s="262"/>
      <c r="C392" s="262"/>
      <c r="D392" s="262"/>
      <c r="E392" s="262"/>
      <c r="F392" s="262"/>
      <c r="G392" s="262"/>
      <c r="H392" s="262"/>
      <c r="I392" s="262"/>
      <c r="J392" s="262"/>
      <c r="K392" s="262"/>
      <c r="L392" s="262"/>
      <c r="M392" s="262"/>
      <c r="N392" s="262"/>
      <c r="O392" s="262"/>
      <c r="P392" s="262"/>
      <c r="Q392" s="262"/>
      <c r="R392" s="262"/>
      <c r="S392" s="263"/>
      <c r="T392" s="263"/>
      <c r="U392" s="263"/>
      <c r="V392" s="263"/>
      <c r="W392" s="263"/>
      <c r="X392" s="206"/>
    </row>
    <row r="393" ht="14.25" customHeight="1">
      <c r="S393" s="206"/>
      <c r="T393" s="206"/>
      <c r="U393" s="206"/>
      <c r="V393" s="206"/>
      <c r="W393" s="206"/>
      <c r="X393" s="206"/>
    </row>
    <row r="394" ht="14.25" customHeight="1">
      <c r="S394" s="206"/>
      <c r="T394" s="206"/>
      <c r="U394" s="206"/>
      <c r="V394" s="206"/>
      <c r="W394" s="206"/>
      <c r="X394" s="206"/>
    </row>
    <row r="395" ht="14.25" customHeight="1">
      <c r="S395" s="206"/>
      <c r="T395" s="206"/>
      <c r="U395" s="206"/>
      <c r="V395" s="206"/>
      <c r="W395" s="206"/>
      <c r="X395" s="206"/>
    </row>
    <row r="396" ht="14.25" customHeight="1">
      <c r="S396" s="206"/>
      <c r="T396" s="206"/>
      <c r="U396" s="206"/>
      <c r="V396" s="206"/>
      <c r="W396" s="206"/>
      <c r="X396" s="206"/>
    </row>
    <row r="397" ht="14.25" customHeight="1">
      <c r="S397" s="206"/>
      <c r="T397" s="206"/>
      <c r="U397" s="206"/>
      <c r="V397" s="206"/>
      <c r="W397" s="206"/>
      <c r="X397" s="206"/>
    </row>
    <row r="398" ht="14.25" customHeight="1">
      <c r="S398" s="206"/>
      <c r="T398" s="206"/>
      <c r="U398" s="206"/>
      <c r="V398" s="206"/>
      <c r="W398" s="206"/>
      <c r="X398" s="206"/>
    </row>
    <row r="399" ht="14.25" customHeight="1">
      <c r="S399" s="206"/>
      <c r="T399" s="206"/>
      <c r="U399" s="206"/>
      <c r="V399" s="206"/>
      <c r="W399" s="206"/>
      <c r="X399" s="206"/>
    </row>
    <row r="400" ht="14.25" customHeight="1">
      <c r="S400" s="206"/>
      <c r="T400" s="206"/>
      <c r="U400" s="206"/>
      <c r="V400" s="206"/>
      <c r="W400" s="206"/>
      <c r="X400" s="206"/>
    </row>
    <row r="401" ht="14.25" customHeight="1">
      <c r="S401" s="206"/>
      <c r="T401" s="206"/>
      <c r="U401" s="206"/>
      <c r="V401" s="206"/>
      <c r="W401" s="206"/>
      <c r="X401" s="206"/>
    </row>
    <row r="402" ht="14.25" customHeight="1">
      <c r="S402" s="206"/>
      <c r="T402" s="206"/>
      <c r="U402" s="206"/>
      <c r="V402" s="206"/>
      <c r="W402" s="206"/>
      <c r="X402" s="206"/>
    </row>
    <row r="403" ht="14.25" customHeight="1">
      <c r="S403" s="206"/>
      <c r="T403" s="206"/>
      <c r="U403" s="206"/>
      <c r="V403" s="206"/>
      <c r="W403" s="206"/>
      <c r="X403" s="206"/>
    </row>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9">
    <mergeCell ref="Y142:Y144"/>
    <mergeCell ref="Y147:Y150"/>
    <mergeCell ref="R248:R259"/>
    <mergeCell ref="Y263:Y277"/>
    <mergeCell ref="Y286:Y287"/>
    <mergeCell ref="N300:R309"/>
    <mergeCell ref="V12:V14"/>
    <mergeCell ref="W12:W14"/>
    <mergeCell ref="Y21:Y27"/>
    <mergeCell ref="Y38:Y50"/>
    <mergeCell ref="Y102:Y104"/>
    <mergeCell ref="Y107:Y108"/>
    <mergeCell ref="Y120:Y130"/>
    <mergeCell ref="X1:Y1"/>
    <mergeCell ref="A2:Y2"/>
    <mergeCell ref="A3:Y3"/>
    <mergeCell ref="I5:M5"/>
    <mergeCell ref="I6:M6"/>
    <mergeCell ref="I7:M7"/>
    <mergeCell ref="I8:M8"/>
    <mergeCell ref="N12:N14"/>
    <mergeCell ref="O12:O14"/>
    <mergeCell ref="P12:P14"/>
    <mergeCell ref="Q12:Q14"/>
    <mergeCell ref="N104:Q104"/>
    <mergeCell ref="R12:R14"/>
    <mergeCell ref="S12:S14"/>
    <mergeCell ref="R22:R27"/>
    <mergeCell ref="T12:T14"/>
    <mergeCell ref="U12:U14"/>
    <mergeCell ref="B15:L15"/>
    <mergeCell ref="B16:L16"/>
    <mergeCell ref="B9:E9"/>
    <mergeCell ref="B10:L14"/>
    <mergeCell ref="M10:M14"/>
    <mergeCell ref="N10:R11"/>
    <mergeCell ref="S10:W11"/>
    <mergeCell ref="X10:X14"/>
    <mergeCell ref="Y10:Y14"/>
  </mergeCells>
  <printOptions horizontalCentered="1"/>
  <pageMargins bottom="0.75" footer="0.0" header="0.0" left="0.25" right="0.25" top="0.75"/>
  <pageSetup orientation="landscape"/>
  <rowBreaks count="4" manualBreakCount="4">
    <brk id="288" man="1"/>
    <brk id="320" man="1"/>
    <brk id="232" man="1"/>
    <brk id="173" man="1"/>
  </row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hidden="1" min="1" max="1" width="9.14"/>
    <col customWidth="1" min="2" max="2" width="12.0"/>
    <col customWidth="1" min="3" max="11" width="9.14"/>
    <col customWidth="1" min="12" max="12" width="15.14"/>
    <col customWidth="1" min="13" max="13" width="9.14"/>
    <col customWidth="1" min="14" max="14" width="14.71"/>
    <col customWidth="1" min="15" max="15" width="14.29"/>
    <col customWidth="1" min="16" max="16" width="15.0"/>
    <col customWidth="1" min="17" max="17" width="13.43"/>
    <col customWidth="1" min="18" max="18" width="18.86"/>
    <col customWidth="1" min="19" max="20" width="13.29"/>
    <col customWidth="1" min="21" max="21" width="16.29"/>
    <col customWidth="1" min="22" max="22" width="12.57"/>
    <col customWidth="1" min="23" max="23" width="20.57"/>
    <col customWidth="1" min="24" max="24" width="16.71"/>
    <col customWidth="1" min="25" max="25" width="41.14"/>
    <col customWidth="1" min="26" max="31" width="9.14"/>
  </cols>
  <sheetData>
    <row r="1" ht="14.25" customHeight="1">
      <c r="A1" s="1"/>
      <c r="B1" s="1"/>
      <c r="C1" s="1"/>
      <c r="D1" s="1"/>
      <c r="E1" s="1"/>
      <c r="F1" s="1"/>
      <c r="G1" s="1"/>
      <c r="H1" s="1"/>
      <c r="I1" s="1"/>
      <c r="J1" s="1"/>
      <c r="K1" s="1"/>
      <c r="L1" s="1"/>
      <c r="M1" s="1"/>
      <c r="N1" s="1"/>
      <c r="O1" s="1"/>
      <c r="P1" s="1"/>
      <c r="Q1" s="1"/>
      <c r="R1" s="1"/>
      <c r="S1" s="1"/>
      <c r="T1" s="1"/>
      <c r="U1" s="1"/>
      <c r="V1" s="1"/>
      <c r="W1" s="1"/>
      <c r="X1" s="2" t="s">
        <v>0</v>
      </c>
      <c r="Y1" s="3"/>
    </row>
    <row r="2" ht="14.25" customHeight="1">
      <c r="A2" s="4" t="s">
        <v>1</v>
      </c>
      <c r="B2" s="5"/>
      <c r="C2" s="5"/>
      <c r="D2" s="5"/>
      <c r="E2" s="5"/>
      <c r="F2" s="5"/>
      <c r="G2" s="5"/>
      <c r="H2" s="5"/>
      <c r="I2" s="5"/>
      <c r="J2" s="5"/>
      <c r="K2" s="5"/>
      <c r="L2" s="5"/>
      <c r="M2" s="5"/>
      <c r="N2" s="5"/>
      <c r="O2" s="5"/>
      <c r="P2" s="5"/>
      <c r="Q2" s="5"/>
      <c r="R2" s="5"/>
      <c r="S2" s="5"/>
      <c r="T2" s="5"/>
      <c r="U2" s="5"/>
      <c r="V2" s="5"/>
      <c r="W2" s="5"/>
      <c r="X2" s="5"/>
      <c r="Y2" s="3"/>
    </row>
    <row r="3" ht="14.25" customHeight="1">
      <c r="A3" s="6" t="s">
        <v>754</v>
      </c>
      <c r="B3" s="5"/>
      <c r="C3" s="5"/>
      <c r="D3" s="5"/>
      <c r="E3" s="5"/>
      <c r="F3" s="5"/>
      <c r="G3" s="5"/>
      <c r="H3" s="5"/>
      <c r="I3" s="5"/>
      <c r="J3" s="5"/>
      <c r="K3" s="5"/>
      <c r="L3" s="5"/>
      <c r="M3" s="5"/>
      <c r="N3" s="5"/>
      <c r="O3" s="5"/>
      <c r="P3" s="5"/>
      <c r="Q3" s="5"/>
      <c r="R3" s="5"/>
      <c r="S3" s="5"/>
      <c r="T3" s="5"/>
      <c r="U3" s="5"/>
      <c r="V3" s="5"/>
      <c r="W3" s="5"/>
      <c r="X3" s="5"/>
      <c r="Y3" s="3"/>
    </row>
    <row r="4" ht="14.25" customHeight="1">
      <c r="A4" s="7"/>
      <c r="B4" s="7"/>
      <c r="C4" s="7"/>
      <c r="D4" s="7"/>
      <c r="E4" s="7"/>
      <c r="F4" s="7"/>
      <c r="G4" s="7"/>
      <c r="H4" s="7"/>
      <c r="I4" s="7"/>
      <c r="J4" s="7"/>
      <c r="K4" s="7"/>
      <c r="L4" s="7"/>
      <c r="M4" s="7"/>
      <c r="N4" s="7"/>
      <c r="O4" s="7"/>
      <c r="P4" s="7"/>
      <c r="Q4" s="7"/>
      <c r="R4" s="7"/>
      <c r="S4" s="7"/>
      <c r="T4" s="7"/>
      <c r="U4" s="7"/>
      <c r="V4" s="7"/>
      <c r="W4" s="7"/>
      <c r="X4" s="7"/>
      <c r="Y4" s="8"/>
    </row>
    <row r="5" ht="14.25" customHeight="1">
      <c r="A5" s="1"/>
      <c r="B5" s="9" t="s">
        <v>3</v>
      </c>
      <c r="C5" s="9"/>
      <c r="D5" s="9"/>
      <c r="E5" s="10"/>
      <c r="F5" s="10"/>
      <c r="G5" s="10"/>
      <c r="H5" s="11" t="s">
        <v>4</v>
      </c>
      <c r="I5" s="12" t="s">
        <v>5</v>
      </c>
      <c r="J5" s="5"/>
      <c r="K5" s="5"/>
      <c r="L5" s="5"/>
      <c r="M5" s="3"/>
      <c r="N5" s="13"/>
      <c r="O5" s="13"/>
      <c r="P5" s="13"/>
      <c r="Q5" s="13"/>
      <c r="R5" s="13"/>
      <c r="S5" s="13"/>
      <c r="T5" s="13"/>
      <c r="U5" s="14"/>
      <c r="V5" s="14"/>
      <c r="W5" s="15"/>
      <c r="X5" s="16" t="s">
        <v>6</v>
      </c>
      <c r="Y5" s="17"/>
    </row>
    <row r="6" ht="14.25" customHeight="1">
      <c r="A6" s="1"/>
      <c r="B6" s="9" t="s">
        <v>7</v>
      </c>
      <c r="C6" s="9"/>
      <c r="D6" s="9"/>
      <c r="E6" s="10"/>
      <c r="F6" s="10"/>
      <c r="G6" s="10"/>
      <c r="H6" s="11" t="s">
        <v>4</v>
      </c>
      <c r="I6" s="12"/>
      <c r="J6" s="5"/>
      <c r="K6" s="5"/>
      <c r="L6" s="5"/>
      <c r="M6" s="3"/>
      <c r="N6" s="13"/>
      <c r="O6" s="13"/>
      <c r="P6" s="13"/>
      <c r="Q6" s="13"/>
      <c r="R6" s="13"/>
      <c r="S6" s="13"/>
      <c r="T6" s="13"/>
      <c r="U6" s="14"/>
      <c r="V6" s="14"/>
      <c r="W6" s="18"/>
      <c r="X6" s="16" t="s">
        <v>8</v>
      </c>
      <c r="Y6" s="17"/>
    </row>
    <row r="7" ht="14.25" customHeight="1">
      <c r="A7" s="1"/>
      <c r="B7" s="9" t="s">
        <v>9</v>
      </c>
      <c r="C7" s="9"/>
      <c r="D7" s="9"/>
      <c r="E7" s="10"/>
      <c r="F7" s="10"/>
      <c r="G7" s="10"/>
      <c r="H7" s="11" t="s">
        <v>4</v>
      </c>
      <c r="I7" s="12"/>
      <c r="J7" s="5"/>
      <c r="K7" s="5"/>
      <c r="L7" s="5"/>
      <c r="M7" s="3"/>
      <c r="N7" s="13"/>
      <c r="O7" s="13"/>
      <c r="P7" s="13"/>
      <c r="Q7" s="13"/>
      <c r="R7" s="13"/>
      <c r="S7" s="14"/>
      <c r="T7" s="14"/>
      <c r="U7" s="14"/>
      <c r="V7" s="1"/>
      <c r="W7" s="18"/>
      <c r="X7" s="16" t="s">
        <v>10</v>
      </c>
      <c r="Y7" s="17"/>
    </row>
    <row r="8" ht="14.25" customHeight="1">
      <c r="A8" s="1"/>
      <c r="B8" s="9" t="s">
        <v>11</v>
      </c>
      <c r="C8" s="9"/>
      <c r="D8" s="9"/>
      <c r="E8" s="10"/>
      <c r="F8" s="10"/>
      <c r="G8" s="10"/>
      <c r="H8" s="11" t="s">
        <v>4</v>
      </c>
      <c r="I8" s="12"/>
      <c r="J8" s="5"/>
      <c r="K8" s="5"/>
      <c r="L8" s="5"/>
      <c r="M8" s="3"/>
      <c r="N8" s="13"/>
      <c r="O8" s="13"/>
      <c r="P8" s="13"/>
      <c r="Q8" s="13"/>
      <c r="R8" s="13"/>
      <c r="S8" s="14"/>
      <c r="T8" s="14"/>
      <c r="U8" s="14"/>
      <c r="V8" s="1"/>
      <c r="W8" s="18"/>
      <c r="X8" s="16" t="s">
        <v>12</v>
      </c>
      <c r="Y8" s="17"/>
    </row>
    <row r="9" ht="14.25" customHeight="1">
      <c r="A9" s="1"/>
      <c r="B9" s="19"/>
      <c r="C9" s="5"/>
      <c r="D9" s="5"/>
      <c r="E9" s="3"/>
      <c r="F9" s="17"/>
      <c r="G9" s="17"/>
      <c r="H9" s="17"/>
      <c r="I9" s="17"/>
      <c r="J9" s="17"/>
      <c r="K9" s="1"/>
      <c r="L9" s="1"/>
      <c r="M9" s="1"/>
      <c r="N9" s="1"/>
      <c r="O9" s="1"/>
      <c r="P9" s="1"/>
      <c r="Q9" s="1"/>
      <c r="R9" s="1"/>
      <c r="S9" s="1"/>
      <c r="T9" s="1"/>
      <c r="U9" s="14"/>
      <c r="V9" s="1"/>
      <c r="W9" s="14"/>
      <c r="X9" s="1"/>
      <c r="Y9" s="1"/>
    </row>
    <row r="10" ht="15.75" customHeight="1">
      <c r="A10" s="1"/>
      <c r="B10" s="20" t="s">
        <v>13</v>
      </c>
      <c r="C10" s="21"/>
      <c r="D10" s="21"/>
      <c r="E10" s="21"/>
      <c r="F10" s="21"/>
      <c r="G10" s="21"/>
      <c r="H10" s="21"/>
      <c r="I10" s="21"/>
      <c r="J10" s="21"/>
      <c r="K10" s="21"/>
      <c r="L10" s="22"/>
      <c r="M10" s="23" t="s">
        <v>14</v>
      </c>
      <c r="N10" s="20" t="s">
        <v>15</v>
      </c>
      <c r="O10" s="21"/>
      <c r="P10" s="21"/>
      <c r="Q10" s="21"/>
      <c r="R10" s="22"/>
      <c r="S10" s="24" t="s">
        <v>16</v>
      </c>
      <c r="T10" s="21"/>
      <c r="U10" s="21"/>
      <c r="V10" s="21"/>
      <c r="W10" s="25"/>
      <c r="X10" s="26" t="s">
        <v>755</v>
      </c>
      <c r="Y10" s="27" t="s">
        <v>18</v>
      </c>
    </row>
    <row r="11" ht="14.25" customHeight="1">
      <c r="A11" s="1"/>
      <c r="B11" s="28"/>
      <c r="L11" s="29"/>
      <c r="M11" s="30"/>
      <c r="N11" s="31"/>
      <c r="O11" s="32"/>
      <c r="P11" s="32"/>
      <c r="Q11" s="32"/>
      <c r="R11" s="33"/>
      <c r="S11" s="34"/>
      <c r="T11" s="35"/>
      <c r="U11" s="35"/>
      <c r="V11" s="35"/>
      <c r="W11" s="36"/>
      <c r="X11" s="37"/>
      <c r="Y11" s="38"/>
    </row>
    <row r="12" ht="15.75" customHeight="1">
      <c r="A12" s="1"/>
      <c r="B12" s="28"/>
      <c r="L12" s="29"/>
      <c r="M12" s="30"/>
      <c r="N12" s="39" t="s">
        <v>19</v>
      </c>
      <c r="O12" s="23" t="s">
        <v>20</v>
      </c>
      <c r="P12" s="39" t="s">
        <v>21</v>
      </c>
      <c r="Q12" s="23" t="s">
        <v>22</v>
      </c>
      <c r="R12" s="39" t="s">
        <v>23</v>
      </c>
      <c r="S12" s="23" t="s">
        <v>19</v>
      </c>
      <c r="T12" s="39" t="s">
        <v>20</v>
      </c>
      <c r="U12" s="23" t="s">
        <v>21</v>
      </c>
      <c r="V12" s="39" t="s">
        <v>22</v>
      </c>
      <c r="W12" s="23" t="s">
        <v>23</v>
      </c>
      <c r="X12" s="37"/>
      <c r="Y12" s="38"/>
    </row>
    <row r="13" ht="14.25" customHeight="1">
      <c r="A13" s="1"/>
      <c r="B13" s="28"/>
      <c r="L13" s="29"/>
      <c r="M13" s="30"/>
      <c r="N13" s="40"/>
      <c r="O13" s="30"/>
      <c r="P13" s="40"/>
      <c r="Q13" s="30"/>
      <c r="R13" s="40"/>
      <c r="S13" s="30"/>
      <c r="T13" s="40"/>
      <c r="U13" s="30"/>
      <c r="V13" s="40"/>
      <c r="W13" s="30"/>
      <c r="X13" s="37"/>
      <c r="Y13" s="38"/>
    </row>
    <row r="14" ht="14.25" customHeight="1">
      <c r="A14" s="1"/>
      <c r="B14" s="31"/>
      <c r="C14" s="32"/>
      <c r="D14" s="32"/>
      <c r="E14" s="32"/>
      <c r="F14" s="32"/>
      <c r="G14" s="32"/>
      <c r="H14" s="32"/>
      <c r="I14" s="32"/>
      <c r="J14" s="32"/>
      <c r="K14" s="32"/>
      <c r="L14" s="33"/>
      <c r="M14" s="41"/>
      <c r="N14" s="42"/>
      <c r="O14" s="41"/>
      <c r="P14" s="42"/>
      <c r="Q14" s="41"/>
      <c r="R14" s="42"/>
      <c r="S14" s="41"/>
      <c r="T14" s="42"/>
      <c r="U14" s="41"/>
      <c r="V14" s="42"/>
      <c r="W14" s="41"/>
      <c r="X14" s="43"/>
      <c r="Y14" s="44"/>
    </row>
    <row r="15" ht="14.25" customHeight="1">
      <c r="A15" s="1"/>
      <c r="B15" s="45">
        <v>1.0</v>
      </c>
      <c r="C15" s="5"/>
      <c r="D15" s="5"/>
      <c r="E15" s="5"/>
      <c r="F15" s="5"/>
      <c r="G15" s="5"/>
      <c r="H15" s="5"/>
      <c r="I15" s="5"/>
      <c r="J15" s="5"/>
      <c r="K15" s="5"/>
      <c r="L15" s="46"/>
      <c r="M15" s="47">
        <v>2.0</v>
      </c>
      <c r="N15" s="48">
        <v>3.0</v>
      </c>
      <c r="O15" s="47">
        <v>4.0</v>
      </c>
      <c r="P15" s="49">
        <v>5.0</v>
      </c>
      <c r="Q15" s="50">
        <v>6.0</v>
      </c>
      <c r="R15" s="51" t="s">
        <v>24</v>
      </c>
      <c r="S15" s="52">
        <v>8.0</v>
      </c>
      <c r="T15" s="51">
        <v>9.0</v>
      </c>
      <c r="U15" s="52">
        <v>10.0</v>
      </c>
      <c r="V15" s="51">
        <v>11.0</v>
      </c>
      <c r="W15" s="52" t="s">
        <v>25</v>
      </c>
      <c r="X15" s="53">
        <v>13.0</v>
      </c>
      <c r="Y15" s="54">
        <v>14.0</v>
      </c>
    </row>
    <row r="16" ht="14.25" customHeight="1">
      <c r="B16" s="55"/>
      <c r="L16" s="29"/>
      <c r="M16" s="56"/>
      <c r="N16" s="57"/>
      <c r="O16" s="56"/>
      <c r="P16" s="57"/>
      <c r="Q16" s="56"/>
      <c r="R16" s="57"/>
      <c r="S16" s="56"/>
      <c r="T16" s="57"/>
      <c r="U16" s="56"/>
      <c r="V16" s="57"/>
      <c r="W16" s="56"/>
      <c r="X16" s="58"/>
      <c r="Y16" s="59"/>
    </row>
    <row r="17" ht="14.25" customHeight="1">
      <c r="B17" s="60" t="s">
        <v>26</v>
      </c>
      <c r="L17" s="61"/>
      <c r="M17" s="62"/>
      <c r="N17" s="63"/>
      <c r="O17" s="62"/>
      <c r="P17" s="63"/>
      <c r="Q17" s="62"/>
      <c r="R17" s="63"/>
      <c r="S17" s="62"/>
      <c r="T17" s="63"/>
      <c r="U17" s="62"/>
      <c r="V17" s="63"/>
      <c r="W17" s="62"/>
      <c r="X17" s="64"/>
      <c r="Y17" s="65"/>
    </row>
    <row r="18" ht="14.25" customHeight="1">
      <c r="B18" s="66" t="s">
        <v>27</v>
      </c>
      <c r="C18" s="67"/>
      <c r="D18" s="67"/>
      <c r="E18" s="67"/>
      <c r="L18" s="61"/>
      <c r="M18" s="62"/>
      <c r="N18" s="64"/>
      <c r="O18" s="68"/>
      <c r="P18" s="64"/>
      <c r="Q18" s="68"/>
      <c r="R18" s="64"/>
      <c r="S18" s="68"/>
      <c r="T18" s="64"/>
      <c r="U18" s="68"/>
      <c r="V18" s="64"/>
      <c r="W18" s="68"/>
      <c r="X18" s="64"/>
      <c r="Y18" s="65"/>
    </row>
    <row r="19" ht="15.0" customHeight="1">
      <c r="B19" s="69"/>
      <c r="C19" s="70"/>
      <c r="L19" s="61"/>
      <c r="M19" s="62"/>
      <c r="N19" s="71"/>
      <c r="O19" s="72"/>
      <c r="P19" s="71"/>
      <c r="Q19" s="72"/>
      <c r="R19" s="64"/>
      <c r="S19" s="72"/>
      <c r="T19" s="71"/>
      <c r="U19" s="72"/>
      <c r="V19" s="71"/>
      <c r="W19" s="68"/>
      <c r="X19" s="73"/>
      <c r="Y19" s="65"/>
    </row>
    <row r="20" ht="14.25" customHeight="1">
      <c r="B20" s="74" t="s">
        <v>28</v>
      </c>
      <c r="C20" s="75"/>
      <c r="L20" s="61"/>
      <c r="M20" s="62"/>
      <c r="N20" s="71"/>
      <c r="O20" s="72"/>
      <c r="P20" s="71"/>
      <c r="Q20" s="72"/>
      <c r="R20" s="64"/>
      <c r="S20" s="72"/>
      <c r="T20" s="71"/>
      <c r="U20" s="72"/>
      <c r="V20" s="71"/>
      <c r="W20" s="68"/>
      <c r="X20" s="64"/>
      <c r="Y20" s="65"/>
    </row>
    <row r="21" ht="15.0" customHeight="1">
      <c r="B21" s="69">
        <v>1.1</v>
      </c>
      <c r="C21" s="70" t="s">
        <v>29</v>
      </c>
      <c r="L21" s="61"/>
      <c r="M21" s="62"/>
      <c r="N21" s="71"/>
      <c r="O21" s="72"/>
      <c r="P21" s="71"/>
      <c r="Q21" s="72"/>
      <c r="R21" s="64"/>
      <c r="S21" s="72"/>
      <c r="T21" s="71"/>
      <c r="U21" s="72"/>
      <c r="V21" s="71"/>
      <c r="W21" s="68"/>
      <c r="X21" s="64"/>
      <c r="Y21" s="76" t="s">
        <v>756</v>
      </c>
    </row>
    <row r="22" ht="14.25" customHeight="1">
      <c r="B22" s="77"/>
      <c r="C22" s="77" t="s">
        <v>757</v>
      </c>
      <c r="L22" s="61"/>
      <c r="M22" s="62"/>
      <c r="N22" s="71"/>
      <c r="O22" s="72"/>
      <c r="P22" s="71"/>
      <c r="Q22" s="72"/>
      <c r="R22" s="64"/>
      <c r="S22" s="72"/>
      <c r="T22" s="71"/>
      <c r="U22" s="72"/>
      <c r="V22" s="71"/>
      <c r="W22" s="68"/>
      <c r="X22" s="64"/>
      <c r="Y22" s="40"/>
    </row>
    <row r="23" ht="14.25" customHeight="1">
      <c r="B23" s="69"/>
      <c r="C23" s="77" t="s">
        <v>758</v>
      </c>
      <c r="L23" s="61"/>
      <c r="M23" s="62"/>
      <c r="N23" s="79"/>
      <c r="O23" s="80"/>
      <c r="P23" s="79"/>
      <c r="Q23" s="80"/>
      <c r="R23" s="64"/>
      <c r="S23" s="82"/>
      <c r="T23" s="82"/>
      <c r="U23" s="82"/>
      <c r="V23" s="82"/>
      <c r="W23" s="83"/>
      <c r="X23" s="73"/>
      <c r="Y23" s="40"/>
    </row>
    <row r="24" ht="14.25" customHeight="1">
      <c r="B24" s="84"/>
      <c r="C24" s="77" t="s">
        <v>759</v>
      </c>
      <c r="L24" s="61"/>
      <c r="M24" s="62"/>
      <c r="N24" s="85"/>
      <c r="O24" s="86"/>
      <c r="P24" s="85"/>
      <c r="Q24" s="86"/>
      <c r="R24" s="64"/>
      <c r="S24" s="83"/>
      <c r="T24" s="83"/>
      <c r="U24" s="88"/>
      <c r="V24" s="83"/>
      <c r="W24" s="89"/>
      <c r="X24" s="64"/>
      <c r="Y24" s="90"/>
    </row>
    <row r="25" ht="14.25" customHeight="1">
      <c r="B25" s="69">
        <v>1.2</v>
      </c>
      <c r="C25" s="91" t="s">
        <v>37</v>
      </c>
      <c r="L25" s="61"/>
      <c r="M25" s="62"/>
      <c r="N25" s="79"/>
      <c r="O25" s="80"/>
      <c r="P25" s="79"/>
      <c r="Q25" s="80"/>
      <c r="R25" s="92">
        <v>0.9575</v>
      </c>
      <c r="S25" s="93">
        <v>0.95415</v>
      </c>
      <c r="T25" s="93">
        <v>0.9534</v>
      </c>
      <c r="U25" s="93">
        <v>0.92025</v>
      </c>
      <c r="V25" s="92">
        <v>0.9428</v>
      </c>
      <c r="W25" s="94">
        <f>IFERROR(__xludf.DUMMYFUNCTION("+V25"),0.9428)</f>
        <v>0.9428</v>
      </c>
      <c r="X25" s="93">
        <f>IFERROR(__xludf.DUMMYFUNCTION("+W25-R25"),-0.014700000000000046)</f>
        <v>-0.0147</v>
      </c>
      <c r="Y25" s="65"/>
    </row>
    <row r="26" ht="14.25" customHeight="1">
      <c r="B26" s="69">
        <v>1.3</v>
      </c>
      <c r="C26" s="70" t="s">
        <v>760</v>
      </c>
      <c r="L26" s="61"/>
      <c r="M26" s="62"/>
      <c r="N26" s="85"/>
      <c r="O26" s="86"/>
      <c r="P26" s="85"/>
      <c r="Q26" s="86"/>
      <c r="R26" s="93">
        <v>0.525</v>
      </c>
      <c r="S26" s="98"/>
      <c r="T26" s="98"/>
      <c r="U26" s="93">
        <v>0.5312</v>
      </c>
      <c r="V26" s="93">
        <v>0.66</v>
      </c>
      <c r="W26" s="94">
        <f>IFERROR(__xludf.DUMMYFUNCTION("+V26"),0.66)</f>
        <v>0.66</v>
      </c>
      <c r="X26" s="93">
        <f>IFERROR(__xludf.DUMMYFUNCTION("+W26-R26"),0.135)</f>
        <v>0.135</v>
      </c>
      <c r="Y26" s="99"/>
    </row>
    <row r="27" ht="14.25" customHeight="1">
      <c r="B27" s="100">
        <v>1.4</v>
      </c>
      <c r="C27" s="70" t="s">
        <v>41</v>
      </c>
      <c r="L27" s="61"/>
      <c r="M27" s="62"/>
      <c r="N27" s="85"/>
      <c r="O27" s="86"/>
      <c r="P27" s="85"/>
      <c r="Q27" s="86"/>
      <c r="R27" s="92">
        <v>1.0</v>
      </c>
      <c r="S27" s="93">
        <v>0.97465</v>
      </c>
      <c r="T27" s="93">
        <v>0.9716</v>
      </c>
      <c r="U27" s="93">
        <v>0.964</v>
      </c>
      <c r="V27" s="92">
        <v>0.95</v>
      </c>
      <c r="W27" s="94">
        <f>IFERROR(__xludf.DUMMYFUNCTION("+V27"),0.95)</f>
        <v>0.95</v>
      </c>
      <c r="X27" s="93">
        <f>IFERROR(__xludf.DUMMYFUNCTION("+W27-R27"),-0.050000000000000044)</f>
        <v>-0.05</v>
      </c>
      <c r="Y27" s="65"/>
    </row>
    <row r="28" ht="14.25" customHeight="1">
      <c r="B28" s="100">
        <v>1.5</v>
      </c>
      <c r="C28" s="70" t="s">
        <v>761</v>
      </c>
      <c r="L28" s="61"/>
      <c r="M28" s="62"/>
      <c r="N28" s="85"/>
      <c r="O28" s="86"/>
      <c r="P28" s="85"/>
      <c r="Q28" s="86"/>
      <c r="R28" s="92">
        <v>0.37</v>
      </c>
      <c r="S28" s="83"/>
      <c r="T28" s="93">
        <v>0.213</v>
      </c>
      <c r="U28" s="93">
        <v>0.3371</v>
      </c>
      <c r="V28" s="92">
        <v>0.4685</v>
      </c>
      <c r="W28" s="146">
        <f>IFERROR(__xludf.DUMMYFUNCTION("+V28"),0.4685)</f>
        <v>0.4685</v>
      </c>
      <c r="X28" s="93">
        <f>IFERROR(__xludf.DUMMYFUNCTION("+W28-R28"),0.09850000000000003)</f>
        <v>0.0985</v>
      </c>
      <c r="Y28" s="65"/>
    </row>
    <row r="29" ht="17.25" customHeight="1">
      <c r="B29" s="100">
        <v>1.6</v>
      </c>
      <c r="C29" s="70" t="s">
        <v>44</v>
      </c>
      <c r="L29" s="61"/>
      <c r="M29" s="62"/>
      <c r="N29" s="85"/>
      <c r="O29" s="86"/>
      <c r="P29" s="85"/>
      <c r="Q29" s="86"/>
      <c r="R29" s="92">
        <v>0.8</v>
      </c>
      <c r="S29" s="83"/>
      <c r="T29" s="83"/>
      <c r="U29" s="88"/>
      <c r="V29" s="92">
        <v>0.865</v>
      </c>
      <c r="W29" s="146">
        <f>IFERROR(__xludf.DUMMYFUNCTION("+V29"),0.865)</f>
        <v>0.865</v>
      </c>
      <c r="X29" s="93">
        <f>IFERROR(__xludf.DUMMYFUNCTION("+W29-R29"),0.06499999999999995)</f>
        <v>0.065</v>
      </c>
      <c r="Y29" s="521"/>
    </row>
    <row r="30" ht="14.25" customHeight="1">
      <c r="B30" s="100">
        <v>1.7</v>
      </c>
      <c r="C30" s="70" t="s">
        <v>46</v>
      </c>
      <c r="L30" s="61"/>
      <c r="M30" s="62"/>
      <c r="N30" s="85"/>
      <c r="O30" s="86"/>
      <c r="P30" s="85"/>
      <c r="Q30" s="86"/>
      <c r="R30" s="92">
        <v>0.8</v>
      </c>
      <c r="S30" s="83"/>
      <c r="T30" s="83"/>
      <c r="U30" s="88"/>
      <c r="V30" s="92">
        <v>0.4715</v>
      </c>
      <c r="W30" s="146">
        <f>IFERROR(__xludf.DUMMYFUNCTION("+V30"),0.4715)</f>
        <v>0.4715</v>
      </c>
      <c r="X30" s="93">
        <f>IFERROR(__xludf.DUMMYFUNCTION("+W30-R30"),-0.32850000000000007)</f>
        <v>-0.3285</v>
      </c>
      <c r="Y30" s="521"/>
    </row>
    <row r="31" ht="14.25" customHeight="1">
      <c r="B31" s="113">
        <v>1.8</v>
      </c>
      <c r="C31" s="118" t="s">
        <v>762</v>
      </c>
      <c r="L31" s="61"/>
      <c r="M31" s="62"/>
      <c r="N31" s="64"/>
      <c r="O31" s="68"/>
      <c r="P31" s="64"/>
      <c r="Q31" s="68"/>
      <c r="R31" s="92">
        <v>0.8</v>
      </c>
      <c r="S31" s="92">
        <v>0.86</v>
      </c>
      <c r="T31" s="92">
        <v>0.86</v>
      </c>
      <c r="U31" s="116">
        <v>0.86</v>
      </c>
      <c r="V31" s="92">
        <v>0.86</v>
      </c>
      <c r="W31" s="146">
        <f>IFERROR(__xludf.DUMMYFUNCTION("+U31"),0.86)</f>
        <v>0.86</v>
      </c>
      <c r="X31" s="93">
        <f>IFERROR(__xludf.DUMMYFUNCTION("+W31-R31"),0.05999999999999994)</f>
        <v>0.06</v>
      </c>
      <c r="Y31" s="65"/>
    </row>
    <row r="32" ht="14.25" customHeight="1">
      <c r="B32" s="60" t="s">
        <v>49</v>
      </c>
      <c r="L32" s="61"/>
      <c r="M32" s="62"/>
      <c r="N32" s="64"/>
      <c r="O32" s="68"/>
      <c r="P32" s="64"/>
      <c r="Q32" s="68"/>
      <c r="R32" s="64"/>
      <c r="S32" s="64"/>
      <c r="T32" s="64"/>
      <c r="U32" s="117"/>
      <c r="V32" s="63"/>
      <c r="W32" s="89"/>
      <c r="X32" s="64"/>
      <c r="Y32" s="65"/>
    </row>
    <row r="33" ht="14.25" customHeight="1">
      <c r="B33" s="113">
        <v>1.1</v>
      </c>
      <c r="C33" s="118" t="s">
        <v>50</v>
      </c>
      <c r="L33" s="61"/>
      <c r="M33" s="62"/>
      <c r="N33" s="64"/>
      <c r="O33" s="68"/>
      <c r="P33" s="64"/>
      <c r="Q33" s="68"/>
      <c r="R33" s="64"/>
      <c r="S33" s="64"/>
      <c r="T33" s="64"/>
      <c r="U33" s="117"/>
      <c r="V33" s="63"/>
      <c r="W33" s="89"/>
      <c r="X33" s="64"/>
      <c r="Y33" s="65"/>
    </row>
    <row r="34" ht="14.25" customHeight="1">
      <c r="B34" s="69"/>
      <c r="C34" s="70" t="s">
        <v>51</v>
      </c>
      <c r="L34" s="61"/>
      <c r="M34" s="62"/>
      <c r="N34" s="83"/>
      <c r="O34" s="68"/>
      <c r="P34" s="83"/>
      <c r="Q34" s="119"/>
      <c r="R34" s="98">
        <v>249891.0</v>
      </c>
      <c r="S34" s="83">
        <v>220384.80000000002</v>
      </c>
      <c r="T34" s="83">
        <v>249558.0</v>
      </c>
      <c r="U34" s="88">
        <v>241912.0</v>
      </c>
      <c r="V34" s="83">
        <v>239907.0</v>
      </c>
      <c r="W34" s="87">
        <f>IFERROR(__xludf.DUMMYFUNCTION("+V34"),239907.0)</f>
        <v>239907</v>
      </c>
      <c r="X34" s="229">
        <f>IFERROR(__xludf.DUMMYFUNCTION("+W34-R34"),-9984.0)</f>
        <v>-9984</v>
      </c>
      <c r="Y34" s="65"/>
    </row>
    <row r="35" ht="14.25" customHeight="1">
      <c r="B35" s="100"/>
      <c r="C35" s="70" t="s">
        <v>58</v>
      </c>
      <c r="L35" s="61"/>
      <c r="M35" s="62"/>
      <c r="N35" s="83"/>
      <c r="O35" s="68"/>
      <c r="P35" s="83"/>
      <c r="Q35" s="119"/>
      <c r="R35" s="98">
        <v>19009.0</v>
      </c>
      <c r="S35" s="83">
        <v>16031.7</v>
      </c>
      <c r="T35" s="83">
        <v>18748.0</v>
      </c>
      <c r="U35" s="88">
        <v>18751.0</v>
      </c>
      <c r="V35" s="83">
        <v>18753.0</v>
      </c>
      <c r="W35" s="87">
        <f>IFERROR(__xludf.DUMMYFUNCTION("+V35"),18753.0)</f>
        <v>18753</v>
      </c>
      <c r="X35" s="229">
        <f>IFERROR(__xludf.DUMMYFUNCTION("+W35-R35"),-256.0)</f>
        <v>-256</v>
      </c>
      <c r="Y35" s="65"/>
    </row>
    <row r="36" ht="14.25" customHeight="1">
      <c r="B36" s="69">
        <v>1.2</v>
      </c>
      <c r="C36" s="70" t="s">
        <v>59</v>
      </c>
      <c r="L36" s="61"/>
      <c r="M36" s="62"/>
      <c r="N36" s="82"/>
      <c r="O36" s="68"/>
      <c r="P36" s="82"/>
      <c r="Q36" s="522"/>
      <c r="R36" s="93">
        <v>0.855</v>
      </c>
      <c r="S36" s="93">
        <v>0.8229</v>
      </c>
      <c r="T36" s="93">
        <v>0.932</v>
      </c>
      <c r="U36" s="93">
        <v>0.9675</v>
      </c>
      <c r="V36" s="93">
        <v>0.9828</v>
      </c>
      <c r="W36" s="94">
        <f>IFERROR(__xludf.DUMMYFUNCTION("+V36"),0.9828)</f>
        <v>0.9828</v>
      </c>
      <c r="X36" s="92">
        <f>IFERROR(__xludf.DUMMYFUNCTION("+W36-R36"),0.12780000000000002)</f>
        <v>0.1278</v>
      </c>
      <c r="Y36" s="65"/>
    </row>
    <row r="37" ht="14.25" customHeight="1">
      <c r="B37" s="100">
        <v>1.3</v>
      </c>
      <c r="C37" s="126" t="s">
        <v>763</v>
      </c>
      <c r="L37" s="61"/>
      <c r="M37" s="62"/>
      <c r="N37" s="523">
        <v>1277.0</v>
      </c>
      <c r="O37" s="523">
        <v>2555.0</v>
      </c>
      <c r="P37" s="523">
        <v>3832.0</v>
      </c>
      <c r="Q37" s="523">
        <v>5110.0</v>
      </c>
      <c r="R37" s="523">
        <v>12774.0</v>
      </c>
      <c r="S37" s="523">
        <v>2482.0</v>
      </c>
      <c r="T37" s="523">
        <v>1980.0</v>
      </c>
      <c r="U37" s="523">
        <v>8293.0</v>
      </c>
      <c r="V37" s="523">
        <v>14753.0</v>
      </c>
      <c r="W37" s="523">
        <f>IFERROR(__xludf.DUMMYFUNCTION("+S37+T37+U37+V37"),27508.0)</f>
        <v>27508</v>
      </c>
      <c r="X37" s="523">
        <f>IFERROR(__xludf.DUMMYFUNCTION("+W37-SUM(R37:R39)"),-18843.0)</f>
        <v>-18843</v>
      </c>
      <c r="Y37" s="65"/>
    </row>
    <row r="38" ht="14.25" customHeight="1">
      <c r="B38" s="506">
        <v>1.4</v>
      </c>
      <c r="C38" s="126" t="s">
        <v>764</v>
      </c>
      <c r="L38" s="29"/>
      <c r="M38" s="62"/>
      <c r="N38" s="90"/>
      <c r="O38" s="90"/>
      <c r="P38" s="90"/>
      <c r="Q38" s="90"/>
      <c r="R38" s="90"/>
      <c r="S38" s="40"/>
      <c r="T38" s="40"/>
      <c r="U38" s="40"/>
      <c r="V38" s="40"/>
      <c r="W38" s="40"/>
      <c r="X38" s="40"/>
      <c r="Y38" s="65"/>
    </row>
    <row r="39" ht="14.25" customHeight="1">
      <c r="B39" s="28"/>
      <c r="L39" s="29"/>
      <c r="M39" s="62"/>
      <c r="N39" s="127"/>
      <c r="O39" s="129"/>
      <c r="P39" s="127"/>
      <c r="Q39" s="129"/>
      <c r="R39" s="127">
        <v>33577.0</v>
      </c>
      <c r="S39" s="90"/>
      <c r="T39" s="90"/>
      <c r="U39" s="90"/>
      <c r="V39" s="90"/>
      <c r="W39" s="90"/>
      <c r="X39" s="90"/>
      <c r="Y39" s="65"/>
    </row>
    <row r="40" ht="14.25" customHeight="1">
      <c r="B40" s="100">
        <v>1.5</v>
      </c>
      <c r="C40" s="77" t="s">
        <v>64</v>
      </c>
      <c r="L40" s="61"/>
      <c r="M40" s="62"/>
      <c r="N40" s="83"/>
      <c r="O40" s="68"/>
      <c r="P40" s="83"/>
      <c r="Q40" s="119"/>
      <c r="R40" s="64"/>
      <c r="S40" s="134"/>
      <c r="T40" s="83"/>
      <c r="U40" s="135"/>
      <c r="V40" s="63"/>
      <c r="W40" s="136"/>
      <c r="X40" s="63"/>
      <c r="Y40" s="65"/>
    </row>
    <row r="41" ht="14.25" customHeight="1">
      <c r="B41" s="100"/>
      <c r="C41" s="126" t="s">
        <v>65</v>
      </c>
      <c r="L41" s="61"/>
      <c r="M41" s="62"/>
      <c r="N41" s="64">
        <v>1.0</v>
      </c>
      <c r="O41" s="64">
        <v>1.0</v>
      </c>
      <c r="P41" s="64">
        <v>1.0</v>
      </c>
      <c r="Q41" s="64">
        <v>1.0</v>
      </c>
      <c r="R41" s="64">
        <v>1.0</v>
      </c>
      <c r="S41" s="83">
        <v>1.0</v>
      </c>
      <c r="T41" s="83">
        <v>1.0</v>
      </c>
      <c r="U41" s="88">
        <v>1.0</v>
      </c>
      <c r="V41" s="64">
        <v>1.0</v>
      </c>
      <c r="W41" s="87">
        <f>IFERROR(__xludf.DUMMYFUNCTION("+V41"),1.0)</f>
        <v>1</v>
      </c>
      <c r="X41" s="83">
        <f>IFERROR(__xludf.DUMMYFUNCTION("+W41-R41"),0.0)</f>
        <v>0</v>
      </c>
      <c r="Y41" s="65"/>
    </row>
    <row r="42" ht="14.25" customHeight="1">
      <c r="B42" s="100"/>
      <c r="C42" s="126" t="s">
        <v>66</v>
      </c>
      <c r="L42" s="61"/>
      <c r="M42" s="62"/>
      <c r="N42" s="64">
        <v>4.0</v>
      </c>
      <c r="O42" s="64">
        <v>4.0</v>
      </c>
      <c r="P42" s="64">
        <v>4.0</v>
      </c>
      <c r="Q42" s="64">
        <v>4.0</v>
      </c>
      <c r="R42" s="64">
        <v>4.0</v>
      </c>
      <c r="S42" s="83">
        <v>4.0</v>
      </c>
      <c r="T42" s="83">
        <v>4.0</v>
      </c>
      <c r="U42" s="88">
        <v>4.0</v>
      </c>
      <c r="V42" s="64">
        <v>4.0</v>
      </c>
      <c r="W42" s="87">
        <f>IFERROR(__xludf.DUMMYFUNCTION("+V42"),4.0)</f>
        <v>4</v>
      </c>
      <c r="X42" s="83">
        <f>IFERROR(__xludf.DUMMYFUNCTION("+W42-R42"),0.0)</f>
        <v>0</v>
      </c>
      <c r="Y42" s="65"/>
    </row>
    <row r="43" ht="14.25" customHeight="1">
      <c r="B43" s="100"/>
      <c r="C43" s="137" t="s">
        <v>67</v>
      </c>
      <c r="L43" s="61"/>
      <c r="M43" s="62"/>
      <c r="N43" s="64">
        <v>46.0</v>
      </c>
      <c r="O43" s="64">
        <v>46.0</v>
      </c>
      <c r="P43" s="64">
        <v>46.0</v>
      </c>
      <c r="Q43" s="64">
        <v>46.0</v>
      </c>
      <c r="R43" s="64">
        <v>46.0</v>
      </c>
      <c r="S43" s="68">
        <v>45.0</v>
      </c>
      <c r="T43" s="64">
        <v>45.0</v>
      </c>
      <c r="U43" s="117">
        <v>45.0</v>
      </c>
      <c r="V43" s="64">
        <v>45.0</v>
      </c>
      <c r="W43" s="87">
        <f>IFERROR(__xludf.DUMMYFUNCTION("+V43"),45.0)</f>
        <v>45</v>
      </c>
      <c r="X43" s="83">
        <f>IFERROR(__xludf.DUMMYFUNCTION("+W43-R43"),-1.0)</f>
        <v>-1</v>
      </c>
      <c r="Y43" s="65"/>
    </row>
    <row r="44" ht="14.25" customHeight="1">
      <c r="B44" s="60"/>
      <c r="C44" s="118" t="s">
        <v>68</v>
      </c>
      <c r="L44" s="61"/>
      <c r="M44" s="62"/>
      <c r="N44" s="64">
        <v>839.0</v>
      </c>
      <c r="O44" s="64">
        <v>839.0</v>
      </c>
      <c r="P44" s="64">
        <v>839.0</v>
      </c>
      <c r="Q44" s="64">
        <v>839.0</v>
      </c>
      <c r="R44" s="64">
        <v>839.0</v>
      </c>
      <c r="S44" s="68">
        <v>854.0</v>
      </c>
      <c r="T44" s="64">
        <v>814.0</v>
      </c>
      <c r="U44" s="117">
        <v>814.0</v>
      </c>
      <c r="V44" s="64">
        <v>814.0</v>
      </c>
      <c r="W44" s="87">
        <f>IFERROR(__xludf.DUMMYFUNCTION("+V44"),814.0)</f>
        <v>814</v>
      </c>
      <c r="X44" s="83">
        <f>IFERROR(__xludf.DUMMYFUNCTION("+W44-R44"),-25.0)</f>
        <v>-25</v>
      </c>
      <c r="Y44" s="65"/>
    </row>
    <row r="45" ht="14.25" customHeight="1">
      <c r="B45" s="113">
        <v>1.6</v>
      </c>
      <c r="C45" s="118" t="s">
        <v>765</v>
      </c>
      <c r="L45" s="61"/>
      <c r="M45" s="62"/>
      <c r="N45" s="64">
        <v>892.0</v>
      </c>
      <c r="O45" s="68">
        <v>892.0</v>
      </c>
      <c r="P45" s="64">
        <v>892.0</v>
      </c>
      <c r="Q45" s="68">
        <v>892.0</v>
      </c>
      <c r="R45" s="64">
        <v>892.0</v>
      </c>
      <c r="S45" s="68">
        <v>577.0</v>
      </c>
      <c r="T45" s="64">
        <v>690.0</v>
      </c>
      <c r="U45" s="117">
        <v>802.0</v>
      </c>
      <c r="V45" s="64">
        <v>860.0</v>
      </c>
      <c r="W45" s="87">
        <f>IFERROR(__xludf.DUMMYFUNCTION("+V45"),860.0)</f>
        <v>860</v>
      </c>
      <c r="X45" s="83">
        <f>IFERROR(__xludf.DUMMYFUNCTION("+W45-R45"),-32.0)</f>
        <v>-32</v>
      </c>
      <c r="Y45" s="65"/>
    </row>
    <row r="46" ht="14.25" customHeight="1">
      <c r="B46" s="69">
        <v>1.7</v>
      </c>
      <c r="C46" s="70" t="s">
        <v>766</v>
      </c>
      <c r="D46" s="143"/>
      <c r="E46" s="143"/>
      <c r="L46" s="61"/>
      <c r="M46" s="62"/>
      <c r="N46" s="83">
        <v>112957.0</v>
      </c>
      <c r="O46" s="119">
        <v>112957.0</v>
      </c>
      <c r="P46" s="83">
        <v>112957.0</v>
      </c>
      <c r="Q46" s="119">
        <v>112957.0</v>
      </c>
      <c r="R46" s="83">
        <v>112957.0</v>
      </c>
      <c r="S46" s="119">
        <v>112957.0</v>
      </c>
      <c r="T46" s="83">
        <v>112279.0</v>
      </c>
      <c r="U46" s="88">
        <v>112279.0</v>
      </c>
      <c r="V46" s="83">
        <v>90960.0</v>
      </c>
      <c r="W46" s="87">
        <f>IFERROR(__xludf.DUMMYFUNCTION("+V46"),90960.0)</f>
        <v>90960</v>
      </c>
      <c r="X46" s="83">
        <f>IFERROR(__xludf.DUMMYFUNCTION("+W46-R46"),-21997.0)</f>
        <v>-21997</v>
      </c>
      <c r="Y46" s="65"/>
    </row>
    <row r="47" ht="14.25" customHeight="1">
      <c r="B47" s="69">
        <v>1.8</v>
      </c>
      <c r="C47" s="91" t="s">
        <v>767</v>
      </c>
      <c r="D47" s="144"/>
      <c r="E47" s="144"/>
      <c r="L47" s="61"/>
      <c r="M47" s="62"/>
      <c r="N47" s="114">
        <v>0.3</v>
      </c>
      <c r="O47" s="115">
        <v>0.3</v>
      </c>
      <c r="P47" s="114">
        <v>0.3</v>
      </c>
      <c r="Q47" s="115">
        <v>0.3</v>
      </c>
      <c r="R47" s="114">
        <v>0.3</v>
      </c>
      <c r="S47" s="145">
        <v>0.4677</v>
      </c>
      <c r="T47" s="524"/>
      <c r="U47" s="145">
        <v>0.896</v>
      </c>
      <c r="V47" s="92">
        <v>0.896</v>
      </c>
      <c r="W47" s="525">
        <f>IFERROR(__xludf.DUMMYFUNCTION("+U47"),0.896)</f>
        <v>0.896</v>
      </c>
      <c r="X47" s="92">
        <f>IFERROR(__xludf.DUMMYFUNCTION("+W47-R47"),0.5960000000000001)</f>
        <v>0.596</v>
      </c>
      <c r="Y47" s="65"/>
    </row>
    <row r="48" ht="14.25" customHeight="1">
      <c r="B48" s="148"/>
      <c r="C48" s="70"/>
      <c r="D48" s="77"/>
      <c r="E48" s="70"/>
      <c r="L48" s="61"/>
      <c r="M48" s="62"/>
      <c r="N48" s="63"/>
      <c r="O48" s="62"/>
      <c r="P48" s="63"/>
      <c r="Q48" s="62"/>
      <c r="R48" s="149"/>
      <c r="S48" s="68"/>
      <c r="T48" s="64"/>
      <c r="U48" s="117"/>
      <c r="V48" s="64"/>
      <c r="W48" s="89"/>
      <c r="X48" s="64"/>
      <c r="Y48" s="65"/>
    </row>
    <row r="49" ht="14.25" customHeight="1">
      <c r="B49" s="148" t="s">
        <v>84</v>
      </c>
      <c r="C49" s="70"/>
      <c r="D49" s="77"/>
      <c r="E49" s="70"/>
      <c r="L49" s="61"/>
      <c r="M49" s="62"/>
      <c r="N49" s="63"/>
      <c r="O49" s="62"/>
      <c r="P49" s="63"/>
      <c r="Q49" s="62"/>
      <c r="R49" s="149"/>
      <c r="S49" s="68"/>
      <c r="T49" s="64"/>
      <c r="U49" s="117"/>
      <c r="V49" s="64"/>
      <c r="W49" s="89"/>
      <c r="X49" s="64"/>
      <c r="Y49" s="65"/>
    </row>
    <row r="50" ht="14.25" customHeight="1">
      <c r="B50" s="148" t="s">
        <v>85</v>
      </c>
      <c r="C50" s="70"/>
      <c r="D50" s="77"/>
      <c r="E50" s="70"/>
      <c r="L50" s="61"/>
      <c r="M50" s="62"/>
      <c r="N50" s="63"/>
      <c r="O50" s="62"/>
      <c r="P50" s="63"/>
      <c r="Q50" s="62"/>
      <c r="R50" s="149"/>
      <c r="S50" s="68"/>
      <c r="T50" s="64"/>
      <c r="U50" s="117"/>
      <c r="V50" s="64"/>
      <c r="W50" s="89"/>
      <c r="X50" s="64"/>
      <c r="Y50" s="65"/>
    </row>
    <row r="51" ht="14.25" customHeight="1">
      <c r="B51" s="150" t="s">
        <v>86</v>
      </c>
      <c r="C51" s="151"/>
      <c r="D51" s="152"/>
      <c r="E51" s="151"/>
      <c r="F51" s="67"/>
      <c r="G51" s="67"/>
      <c r="L51" s="61"/>
      <c r="M51" s="62"/>
      <c r="N51" s="63"/>
      <c r="O51" s="62"/>
      <c r="P51" s="63"/>
      <c r="Q51" s="62"/>
      <c r="R51" s="149"/>
      <c r="S51" s="68"/>
      <c r="T51" s="64"/>
      <c r="U51" s="68"/>
      <c r="V51" s="64"/>
      <c r="W51" s="68"/>
      <c r="X51" s="64"/>
      <c r="Y51" s="65"/>
    </row>
    <row r="52" ht="14.25" customHeight="1">
      <c r="B52" s="148"/>
      <c r="C52" s="70"/>
      <c r="D52" s="77"/>
      <c r="E52" s="70"/>
      <c r="L52" s="61"/>
      <c r="M52" s="62"/>
      <c r="N52" s="63"/>
      <c r="O52" s="62"/>
      <c r="P52" s="63"/>
      <c r="Q52" s="62"/>
      <c r="R52" s="149"/>
      <c r="S52" s="68"/>
      <c r="T52" s="64"/>
      <c r="U52" s="68"/>
      <c r="V52" s="64"/>
      <c r="W52" s="68"/>
      <c r="X52" s="64"/>
      <c r="Y52" s="65"/>
    </row>
    <row r="53" ht="14.25" customHeight="1">
      <c r="B53" s="148" t="s">
        <v>87</v>
      </c>
      <c r="C53" s="70"/>
      <c r="D53" s="77"/>
      <c r="E53" s="70"/>
      <c r="L53" s="61"/>
      <c r="M53" s="62"/>
      <c r="N53" s="63"/>
      <c r="O53" s="62"/>
      <c r="P53" s="63"/>
      <c r="Q53" s="62"/>
      <c r="R53" s="149"/>
      <c r="S53" s="68"/>
      <c r="T53" s="64"/>
      <c r="U53" s="68"/>
      <c r="V53" s="64"/>
      <c r="W53" s="68"/>
      <c r="X53" s="64"/>
      <c r="Y53" s="65"/>
    </row>
    <row r="54" ht="14.25" customHeight="1">
      <c r="B54" s="69">
        <v>2.1</v>
      </c>
      <c r="C54" s="70" t="s">
        <v>88</v>
      </c>
      <c r="D54" s="144"/>
      <c r="L54" s="61"/>
      <c r="M54" s="62"/>
      <c r="N54" s="63"/>
      <c r="O54" s="62"/>
      <c r="P54" s="63"/>
      <c r="Q54" s="63"/>
      <c r="R54" s="149"/>
      <c r="S54" s="64"/>
      <c r="T54" s="64"/>
      <c r="U54" s="64"/>
      <c r="V54" s="64"/>
      <c r="W54" s="64"/>
      <c r="X54" s="64"/>
      <c r="Y54" s="65"/>
    </row>
    <row r="55" ht="14.25" customHeight="1">
      <c r="B55" s="69"/>
      <c r="C55" s="91" t="s">
        <v>687</v>
      </c>
      <c r="D55" s="144"/>
      <c r="L55" s="61"/>
      <c r="M55" s="62"/>
      <c r="N55" s="63"/>
      <c r="O55" s="62"/>
      <c r="P55" s="63"/>
      <c r="Q55" s="63"/>
      <c r="R55" s="149"/>
      <c r="S55" s="64"/>
      <c r="T55" s="64"/>
      <c r="U55" s="64"/>
      <c r="V55" s="64"/>
      <c r="W55" s="64"/>
      <c r="X55" s="64"/>
      <c r="Y55" s="65"/>
    </row>
    <row r="56" ht="14.25" customHeight="1">
      <c r="B56" s="69"/>
      <c r="C56" s="91" t="s">
        <v>688</v>
      </c>
      <c r="D56" s="144"/>
      <c r="L56" s="61"/>
      <c r="M56" s="62"/>
      <c r="N56" s="63"/>
      <c r="O56" s="62"/>
      <c r="P56" s="63"/>
      <c r="Q56" s="63"/>
      <c r="R56" s="169">
        <v>0.3</v>
      </c>
      <c r="S56" s="93">
        <v>0.2272</v>
      </c>
      <c r="T56" s="93">
        <v>0.2708</v>
      </c>
      <c r="U56" s="92">
        <v>0.1111</v>
      </c>
      <c r="V56" s="93">
        <v>0.2</v>
      </c>
      <c r="W56" s="93">
        <v>0.5833</v>
      </c>
      <c r="X56" s="92">
        <f>IFERROR(__xludf.DUMMYFUNCTION("+W56-R56"),0.28330000000000005)</f>
        <v>0.2833</v>
      </c>
      <c r="Y56" s="65"/>
    </row>
    <row r="57" ht="14.25" customHeight="1">
      <c r="B57" s="69"/>
      <c r="C57" s="91" t="s">
        <v>689</v>
      </c>
      <c r="D57" s="144"/>
      <c r="L57" s="61"/>
      <c r="M57" s="62"/>
      <c r="N57" s="63"/>
      <c r="O57" s="62"/>
      <c r="P57" s="63"/>
      <c r="Q57" s="63"/>
      <c r="R57" s="169">
        <v>0.3</v>
      </c>
      <c r="S57" s="93">
        <v>0.16</v>
      </c>
      <c r="T57" s="93">
        <v>0.0731</v>
      </c>
      <c r="U57" s="92">
        <v>0.1868</v>
      </c>
      <c r="V57" s="93">
        <v>0.1923</v>
      </c>
      <c r="W57" s="93">
        <v>0.3851</v>
      </c>
      <c r="X57" s="92">
        <f>IFERROR(__xludf.DUMMYFUNCTION("+W57-R57"),0.08510000000000001)</f>
        <v>0.0851</v>
      </c>
      <c r="Y57" s="65"/>
    </row>
    <row r="58" ht="14.25" customHeight="1">
      <c r="B58" s="69"/>
      <c r="C58" s="91" t="s">
        <v>690</v>
      </c>
      <c r="D58" s="154"/>
      <c r="L58" s="61"/>
      <c r="M58" s="62"/>
      <c r="N58" s="63"/>
      <c r="O58" s="62"/>
      <c r="P58" s="63"/>
      <c r="Q58" s="63"/>
      <c r="R58" s="169">
        <v>0.3</v>
      </c>
      <c r="S58" s="93">
        <v>0.125</v>
      </c>
      <c r="T58" s="93">
        <v>0.2156</v>
      </c>
      <c r="U58" s="92">
        <v>0.3571</v>
      </c>
      <c r="V58" s="93">
        <v>0.4625</v>
      </c>
      <c r="W58" s="93">
        <v>0.4625</v>
      </c>
      <c r="X58" s="92">
        <f>IFERROR(__xludf.DUMMYFUNCTION("+W58-R58"),0.16250000000000003)</f>
        <v>0.1625</v>
      </c>
      <c r="Y58" s="65"/>
    </row>
    <row r="59" ht="14.25" customHeight="1">
      <c r="B59" s="69"/>
      <c r="C59" s="70" t="s">
        <v>691</v>
      </c>
      <c r="D59" s="154"/>
      <c r="L59" s="61"/>
      <c r="M59" s="62"/>
      <c r="N59" s="63"/>
      <c r="O59" s="62"/>
      <c r="P59" s="63"/>
      <c r="Q59" s="63"/>
      <c r="R59" s="169">
        <v>0.3</v>
      </c>
      <c r="S59" s="93">
        <v>0.1628</v>
      </c>
      <c r="T59" s="93">
        <v>0.27</v>
      </c>
      <c r="U59" s="92">
        <v>0.133</v>
      </c>
      <c r="V59" s="93">
        <v>0.1042</v>
      </c>
      <c r="W59" s="93">
        <v>0.35</v>
      </c>
      <c r="X59" s="92">
        <f>IFERROR(__xludf.DUMMYFUNCTION("+W59-R59"),0.04999999999999999)</f>
        <v>0.05</v>
      </c>
      <c r="Y59" s="65"/>
    </row>
    <row r="60" ht="14.25" customHeight="1">
      <c r="B60" s="148" t="s">
        <v>49</v>
      </c>
      <c r="C60" s="70"/>
      <c r="D60" s="154"/>
      <c r="L60" s="61"/>
      <c r="M60" s="62"/>
      <c r="N60" s="63"/>
      <c r="O60" s="62"/>
      <c r="P60" s="63"/>
      <c r="Q60" s="63"/>
      <c r="R60" s="149"/>
      <c r="S60" s="64"/>
      <c r="T60" s="64"/>
      <c r="U60" s="64"/>
      <c r="V60" s="64"/>
      <c r="W60" s="64"/>
      <c r="X60" s="64"/>
      <c r="Y60" s="65"/>
    </row>
    <row r="61" ht="14.25" customHeight="1">
      <c r="B61" s="69">
        <v>2.1</v>
      </c>
      <c r="C61" s="91" t="s">
        <v>89</v>
      </c>
      <c r="D61" s="144"/>
      <c r="L61" s="61"/>
      <c r="M61" s="62"/>
      <c r="N61" s="63"/>
      <c r="O61" s="62"/>
      <c r="P61" s="63"/>
      <c r="Q61" s="63"/>
      <c r="R61" s="149"/>
      <c r="S61" s="64"/>
      <c r="T61" s="64"/>
      <c r="U61" s="64"/>
      <c r="V61" s="64"/>
      <c r="W61" s="64"/>
      <c r="X61" s="64"/>
      <c r="Y61" s="65"/>
    </row>
    <row r="62" ht="14.25" customHeight="1">
      <c r="B62" s="69"/>
      <c r="C62" s="91" t="s">
        <v>90</v>
      </c>
      <c r="D62" s="154"/>
      <c r="L62" s="61"/>
      <c r="M62" s="62"/>
      <c r="N62" s="64">
        <v>36.0</v>
      </c>
      <c r="O62" s="68">
        <v>9.0</v>
      </c>
      <c r="P62" s="64">
        <v>10.0</v>
      </c>
      <c r="Q62" s="64">
        <v>5.0</v>
      </c>
      <c r="R62" s="101">
        <v>60.0</v>
      </c>
      <c r="S62" s="64">
        <v>51.0</v>
      </c>
      <c r="T62" s="64">
        <v>48.0</v>
      </c>
      <c r="U62" s="64">
        <v>45.0</v>
      </c>
      <c r="V62" s="64">
        <v>45.0</v>
      </c>
      <c r="W62" s="64">
        <v>73.0</v>
      </c>
      <c r="X62" s="64">
        <f>IFERROR(__xludf.DUMMYFUNCTION("+W62-R62"),13.0)</f>
        <v>13</v>
      </c>
      <c r="Y62" s="65"/>
    </row>
    <row r="63" ht="14.25" customHeight="1">
      <c r="B63" s="69"/>
      <c r="C63" s="70" t="s">
        <v>91</v>
      </c>
      <c r="D63" s="154"/>
      <c r="L63" s="61"/>
      <c r="M63" s="62"/>
      <c r="N63" s="64">
        <v>35.0</v>
      </c>
      <c r="O63" s="68">
        <v>15.0</v>
      </c>
      <c r="P63" s="64">
        <v>15.0</v>
      </c>
      <c r="Q63" s="64">
        <v>15.0</v>
      </c>
      <c r="R63" s="101">
        <v>80.0</v>
      </c>
      <c r="S63" s="64">
        <v>85.0</v>
      </c>
      <c r="T63" s="64">
        <v>87.0</v>
      </c>
      <c r="U63" s="64">
        <v>97.0</v>
      </c>
      <c r="V63" s="64">
        <v>108.0</v>
      </c>
      <c r="W63" s="64">
        <v>155.0</v>
      </c>
      <c r="X63" s="64">
        <f>IFERROR(__xludf.DUMMYFUNCTION("+W63-R63"),75.0)</f>
        <v>75</v>
      </c>
      <c r="Y63" s="65"/>
    </row>
    <row r="64" ht="14.25" customHeight="1">
      <c r="B64" s="69"/>
      <c r="C64" s="70" t="s">
        <v>92</v>
      </c>
      <c r="D64" s="154"/>
      <c r="L64" s="61"/>
      <c r="M64" s="62"/>
      <c r="N64" s="64">
        <v>20.0</v>
      </c>
      <c r="O64" s="68">
        <v>20.0</v>
      </c>
      <c r="P64" s="64">
        <v>20.0</v>
      </c>
      <c r="Q64" s="64">
        <v>20.0</v>
      </c>
      <c r="R64" s="101">
        <v>80.0</v>
      </c>
      <c r="S64" s="64">
        <v>48.0</v>
      </c>
      <c r="T64" s="64">
        <v>43.0</v>
      </c>
      <c r="U64" s="64">
        <v>43.0</v>
      </c>
      <c r="V64" s="64">
        <v>42.0</v>
      </c>
      <c r="W64" s="64">
        <v>88.0</v>
      </c>
      <c r="X64" s="64">
        <f>IFERROR(__xludf.DUMMYFUNCTION("+W64-R64"),8.0)</f>
        <v>8</v>
      </c>
      <c r="Y64" s="65"/>
    </row>
    <row r="65" ht="14.25" customHeight="1">
      <c r="B65" s="69"/>
      <c r="C65" s="91" t="s">
        <v>93</v>
      </c>
      <c r="D65" s="154"/>
      <c r="L65" s="61"/>
      <c r="M65" s="62"/>
      <c r="N65" s="64">
        <v>15.0</v>
      </c>
      <c r="O65" s="68">
        <v>15.0</v>
      </c>
      <c r="P65" s="64">
        <v>15.0</v>
      </c>
      <c r="Q65" s="68">
        <v>15.0</v>
      </c>
      <c r="R65" s="101">
        <v>60.0</v>
      </c>
      <c r="S65" s="68">
        <v>43.0</v>
      </c>
      <c r="T65" s="64">
        <v>41.0</v>
      </c>
      <c r="U65" s="68">
        <v>36.0</v>
      </c>
      <c r="V65" s="64">
        <v>48.0</v>
      </c>
      <c r="W65" s="68">
        <v>80.0</v>
      </c>
      <c r="X65" s="64">
        <f>IFERROR(__xludf.DUMMYFUNCTION("+W65-R65"),20.0)</f>
        <v>20</v>
      </c>
      <c r="Y65" s="65"/>
    </row>
    <row r="66" ht="14.25" customHeight="1">
      <c r="B66" s="69">
        <v>2.3</v>
      </c>
      <c r="C66" s="91" t="s">
        <v>94</v>
      </c>
      <c r="D66" s="154"/>
      <c r="L66" s="61"/>
      <c r="M66" s="62"/>
      <c r="N66" s="63"/>
      <c r="O66" s="62"/>
      <c r="P66" s="63"/>
      <c r="Q66" s="62"/>
      <c r="R66" s="149"/>
      <c r="S66" s="68"/>
      <c r="T66" s="64"/>
      <c r="U66" s="68"/>
      <c r="V66" s="64"/>
      <c r="W66" s="68"/>
      <c r="X66" s="64"/>
      <c r="Y66" s="65"/>
    </row>
    <row r="67" ht="14.25" customHeight="1">
      <c r="B67" s="69"/>
      <c r="C67" s="70" t="s">
        <v>90</v>
      </c>
      <c r="D67" s="144"/>
      <c r="L67" s="61"/>
      <c r="M67" s="62"/>
      <c r="N67" s="63"/>
      <c r="O67" s="62"/>
      <c r="P67" s="63"/>
      <c r="Q67" s="62"/>
      <c r="R67" s="101">
        <v>485.0</v>
      </c>
      <c r="S67" s="161" t="s">
        <v>768</v>
      </c>
      <c r="T67" s="162" t="s">
        <v>769</v>
      </c>
      <c r="U67" s="377" t="s">
        <v>770</v>
      </c>
      <c r="V67" s="377" t="s">
        <v>771</v>
      </c>
      <c r="W67" s="479"/>
      <c r="X67" s="64"/>
      <c r="Y67" s="65"/>
    </row>
    <row r="68" ht="14.25" customHeight="1">
      <c r="B68" s="69"/>
      <c r="C68" s="70" t="s">
        <v>91</v>
      </c>
      <c r="D68" s="144"/>
      <c r="L68" s="61"/>
      <c r="M68" s="62"/>
      <c r="N68" s="63"/>
      <c r="O68" s="62"/>
      <c r="P68" s="63"/>
      <c r="Q68" s="62"/>
      <c r="R68" s="101">
        <v>601.0</v>
      </c>
      <c r="S68" s="220">
        <v>252.0</v>
      </c>
      <c r="T68" s="162" t="s">
        <v>772</v>
      </c>
      <c r="U68" s="377" t="s">
        <v>773</v>
      </c>
      <c r="V68" s="377" t="s">
        <v>774</v>
      </c>
      <c r="W68" s="479"/>
      <c r="X68" s="64"/>
      <c r="Y68" s="65"/>
    </row>
    <row r="69" ht="14.25" customHeight="1">
      <c r="B69" s="69"/>
      <c r="C69" s="70" t="s">
        <v>92</v>
      </c>
      <c r="D69" s="154"/>
      <c r="L69" s="61"/>
      <c r="M69" s="62"/>
      <c r="N69" s="63"/>
      <c r="O69" s="62"/>
      <c r="P69" s="63"/>
      <c r="Q69" s="62"/>
      <c r="R69" s="101">
        <v>395.0</v>
      </c>
      <c r="S69" s="161" t="s">
        <v>775</v>
      </c>
      <c r="T69" s="162" t="s">
        <v>776</v>
      </c>
      <c r="U69" s="377" t="s">
        <v>777</v>
      </c>
      <c r="V69" s="377" t="s">
        <v>778</v>
      </c>
      <c r="W69" s="479"/>
      <c r="X69" s="64"/>
      <c r="Y69" s="65"/>
    </row>
    <row r="70" ht="96.0" customHeight="1">
      <c r="B70" s="69"/>
      <c r="C70" s="70" t="s">
        <v>93</v>
      </c>
      <c r="D70" s="154"/>
      <c r="L70" s="61"/>
      <c r="M70" s="62"/>
      <c r="N70" s="63"/>
      <c r="O70" s="62"/>
      <c r="P70" s="63"/>
      <c r="Q70" s="62"/>
      <c r="R70" s="101">
        <v>145.0</v>
      </c>
      <c r="S70" s="161" t="s">
        <v>779</v>
      </c>
      <c r="T70" s="162" t="s">
        <v>780</v>
      </c>
      <c r="U70" s="377" t="s">
        <v>781</v>
      </c>
      <c r="V70" s="377" t="s">
        <v>782</v>
      </c>
      <c r="W70" s="479"/>
      <c r="X70" s="64"/>
      <c r="Y70" s="65"/>
    </row>
    <row r="71" ht="14.25" customHeight="1">
      <c r="B71" s="69">
        <v>2.4</v>
      </c>
      <c r="C71" s="91" t="s">
        <v>105</v>
      </c>
      <c r="D71" s="144"/>
      <c r="L71" s="61"/>
      <c r="M71" s="62"/>
      <c r="N71" s="63"/>
      <c r="O71" s="62"/>
      <c r="P71" s="63"/>
      <c r="Q71" s="62"/>
      <c r="R71" s="149"/>
      <c r="S71" s="68"/>
      <c r="T71" s="64"/>
      <c r="U71" s="68"/>
      <c r="V71" s="64"/>
      <c r="W71" s="68"/>
      <c r="X71" s="64"/>
      <c r="Y71" s="65"/>
    </row>
    <row r="72" ht="14.25" customHeight="1">
      <c r="B72" s="69"/>
      <c r="C72" s="91" t="s">
        <v>783</v>
      </c>
      <c r="D72" s="144"/>
      <c r="L72" s="61"/>
      <c r="M72" s="62"/>
      <c r="N72" s="526">
        <v>1.0</v>
      </c>
      <c r="O72" s="526">
        <v>1.0</v>
      </c>
      <c r="P72" s="526">
        <v>1.0</v>
      </c>
      <c r="Q72" s="526">
        <v>1.0</v>
      </c>
      <c r="R72" s="526">
        <v>1.0</v>
      </c>
      <c r="S72" s="527">
        <v>0.75</v>
      </c>
      <c r="T72" s="527">
        <v>0.75</v>
      </c>
      <c r="U72" s="527">
        <v>1.0</v>
      </c>
      <c r="V72" s="527">
        <v>0.75</v>
      </c>
      <c r="W72" s="527">
        <f>IFERROR(__xludf.DUMMYFUNCTION("+V72"),0.75)</f>
        <v>0.75</v>
      </c>
      <c r="X72" s="180">
        <f>IFERROR(__xludf.DUMMYFUNCTION("+W72-R72"),-0.25)</f>
        <v>-0.25</v>
      </c>
      <c r="Y72" s="99" t="s">
        <v>784</v>
      </c>
    </row>
    <row r="73" ht="14.25" customHeight="1">
      <c r="B73" s="69"/>
      <c r="C73" s="91" t="s">
        <v>785</v>
      </c>
      <c r="D73" s="144"/>
      <c r="L73" s="61"/>
      <c r="M73" s="62"/>
      <c r="N73" s="528">
        <v>0.05902777777777778</v>
      </c>
      <c r="O73" s="528">
        <v>0.05902777777777778</v>
      </c>
      <c r="P73" s="528">
        <v>0.05902777777777778</v>
      </c>
      <c r="Q73" s="528">
        <v>0.05902777777777778</v>
      </c>
      <c r="R73" s="528">
        <v>0.05902777777777778</v>
      </c>
      <c r="S73" s="529">
        <v>0.05902777777777778</v>
      </c>
      <c r="T73" s="529">
        <v>0.05902777777777778</v>
      </c>
      <c r="U73" s="529">
        <v>0.05902777777777778</v>
      </c>
      <c r="V73" s="530">
        <v>0.05902777777777778</v>
      </c>
      <c r="W73" s="529"/>
      <c r="X73" s="64"/>
      <c r="Y73" s="65"/>
    </row>
    <row r="74" ht="14.25" customHeight="1">
      <c r="B74" s="69"/>
      <c r="C74" s="91" t="s">
        <v>786</v>
      </c>
      <c r="D74" s="183"/>
      <c r="E74" s="144"/>
      <c r="L74" s="61"/>
      <c r="M74" s="62"/>
      <c r="N74" s="528">
        <v>0.052083333333333336</v>
      </c>
      <c r="O74" s="528">
        <v>0.052083333333333336</v>
      </c>
      <c r="P74" s="528">
        <v>0.052083333333333336</v>
      </c>
      <c r="Q74" s="528">
        <v>0.052083333333333336</v>
      </c>
      <c r="R74" s="528">
        <v>0.052083333333333336</v>
      </c>
      <c r="S74" s="529">
        <v>0.0625</v>
      </c>
      <c r="T74" s="529">
        <v>0.0625</v>
      </c>
      <c r="U74" s="529">
        <v>0.052083333333333336</v>
      </c>
      <c r="V74" s="530">
        <v>0.06319444444444444</v>
      </c>
      <c r="W74" s="529"/>
      <c r="X74" s="64"/>
      <c r="Y74" s="65"/>
    </row>
    <row r="75" ht="14.25" customHeight="1">
      <c r="B75" s="69"/>
      <c r="C75" s="91" t="s">
        <v>787</v>
      </c>
      <c r="D75" s="183"/>
      <c r="E75" s="144"/>
      <c r="L75" s="61"/>
      <c r="M75" s="62"/>
      <c r="N75" s="528">
        <v>0.05902777777777778</v>
      </c>
      <c r="O75" s="528">
        <v>0.05902777777777778</v>
      </c>
      <c r="P75" s="528">
        <v>0.05902777777777778</v>
      </c>
      <c r="Q75" s="528">
        <v>0.05902777777777778</v>
      </c>
      <c r="R75" s="528">
        <v>0.05902777777777778</v>
      </c>
      <c r="S75" s="529">
        <v>0.05902777777777778</v>
      </c>
      <c r="T75" s="529">
        <v>0.05902777777777778</v>
      </c>
      <c r="U75" s="530">
        <v>0.05555555555555555</v>
      </c>
      <c r="V75" s="530">
        <v>0.04861111111111111</v>
      </c>
      <c r="W75" s="180"/>
      <c r="X75" s="64"/>
      <c r="Y75" s="65"/>
    </row>
    <row r="76" ht="14.25" customHeight="1">
      <c r="B76" s="69"/>
      <c r="C76" s="91" t="s">
        <v>788</v>
      </c>
      <c r="D76" s="183"/>
      <c r="E76" s="144"/>
      <c r="L76" s="61"/>
      <c r="M76" s="62"/>
      <c r="N76" s="528">
        <v>0.05902777777777778</v>
      </c>
      <c r="O76" s="528">
        <v>0.05902777777777778</v>
      </c>
      <c r="P76" s="528">
        <v>0.05902777777777778</v>
      </c>
      <c r="Q76" s="528">
        <v>0.05902777777777778</v>
      </c>
      <c r="R76" s="528">
        <v>0.05902777777777778</v>
      </c>
      <c r="S76" s="529">
        <v>0.05902777777777778</v>
      </c>
      <c r="T76" s="529">
        <v>0.05902777777777778</v>
      </c>
      <c r="U76" s="529">
        <v>0.05902777777777778</v>
      </c>
      <c r="V76" s="529">
        <v>0.05902777777777778</v>
      </c>
      <c r="W76" s="529"/>
      <c r="X76" s="64"/>
      <c r="Y76" s="65"/>
    </row>
    <row r="77" ht="14.25" customHeight="1">
      <c r="B77" s="69"/>
      <c r="C77" s="91" t="s">
        <v>789</v>
      </c>
      <c r="D77" s="144"/>
      <c r="L77" s="61"/>
      <c r="M77" s="62"/>
      <c r="N77" s="526">
        <v>1.0</v>
      </c>
      <c r="O77" s="526">
        <v>1.0</v>
      </c>
      <c r="P77" s="526">
        <v>1.0</v>
      </c>
      <c r="Q77" s="526">
        <v>1.0</v>
      </c>
      <c r="R77" s="526">
        <v>1.0</v>
      </c>
      <c r="S77" s="527">
        <v>0.75</v>
      </c>
      <c r="T77" s="527">
        <v>0.75</v>
      </c>
      <c r="U77" s="527">
        <v>1.0</v>
      </c>
      <c r="V77" s="527">
        <v>1.0</v>
      </c>
      <c r="W77" s="527">
        <f>IFERROR(__xludf.DUMMYFUNCTION("+V77"),1.0)</f>
        <v>1</v>
      </c>
      <c r="X77" s="114">
        <f>IFERROR(__xludf.DUMMYFUNCTION("+W77-R77"),0.0)</f>
        <v>0</v>
      </c>
      <c r="Y77" s="99"/>
    </row>
    <row r="78" ht="14.25" customHeight="1">
      <c r="B78" s="69"/>
      <c r="C78" s="91" t="s">
        <v>790</v>
      </c>
      <c r="D78" s="144"/>
      <c r="L78" s="61"/>
      <c r="M78" s="62"/>
      <c r="N78" s="528" t="s">
        <v>791</v>
      </c>
      <c r="O78" s="528" t="s">
        <v>791</v>
      </c>
      <c r="P78" s="528" t="s">
        <v>791</v>
      </c>
      <c r="Q78" s="528" t="s">
        <v>791</v>
      </c>
      <c r="R78" s="528" t="s">
        <v>791</v>
      </c>
      <c r="S78" s="529" t="s">
        <v>791</v>
      </c>
      <c r="T78" s="529" t="s">
        <v>791</v>
      </c>
      <c r="U78" s="529" t="s">
        <v>791</v>
      </c>
      <c r="V78" s="531" t="s">
        <v>791</v>
      </c>
      <c r="W78" s="529"/>
      <c r="X78" s="64"/>
      <c r="Y78" s="65"/>
    </row>
    <row r="79" ht="14.25" customHeight="1">
      <c r="B79" s="69"/>
      <c r="C79" s="91" t="s">
        <v>792</v>
      </c>
      <c r="D79" s="144"/>
      <c r="L79" s="61"/>
      <c r="M79" s="62"/>
      <c r="N79" s="528">
        <v>0.05902777777777778</v>
      </c>
      <c r="O79" s="528">
        <v>0.05902777777777778</v>
      </c>
      <c r="P79" s="528">
        <v>0.05902777777777778</v>
      </c>
      <c r="Q79" s="528">
        <v>0.05902777777777778</v>
      </c>
      <c r="R79" s="528">
        <v>0.05902777777777778</v>
      </c>
      <c r="S79" s="529">
        <v>0.0625</v>
      </c>
      <c r="T79" s="529">
        <v>0.0625</v>
      </c>
      <c r="U79" s="530">
        <v>0.05555555555555555</v>
      </c>
      <c r="V79" s="532">
        <v>0.049999999999999996</v>
      </c>
      <c r="W79" s="529"/>
      <c r="X79" s="64"/>
      <c r="Y79" s="65"/>
    </row>
    <row r="80" ht="14.25" customHeight="1">
      <c r="B80" s="69"/>
      <c r="C80" s="91" t="s">
        <v>793</v>
      </c>
      <c r="D80" s="144"/>
      <c r="L80" s="61"/>
      <c r="M80" s="62"/>
      <c r="N80" s="528">
        <v>0.05902777777777778</v>
      </c>
      <c r="O80" s="528">
        <v>0.05902777777777778</v>
      </c>
      <c r="P80" s="528">
        <v>0.05902777777777778</v>
      </c>
      <c r="Q80" s="528">
        <v>0.05902777777777778</v>
      </c>
      <c r="R80" s="528">
        <v>0.05902777777777778</v>
      </c>
      <c r="S80" s="529">
        <v>0.05902777777777778</v>
      </c>
      <c r="T80" s="529">
        <v>0.052083333333333336</v>
      </c>
      <c r="U80" s="530">
        <v>0.05555555555555555</v>
      </c>
      <c r="V80" s="532">
        <v>0.052083333333333336</v>
      </c>
      <c r="W80" s="180"/>
      <c r="X80" s="64"/>
      <c r="Y80" s="65"/>
    </row>
    <row r="81" ht="14.25" customHeight="1">
      <c r="B81" s="69"/>
      <c r="C81" s="70" t="s">
        <v>794</v>
      </c>
      <c r="D81" s="154"/>
      <c r="L81" s="61"/>
      <c r="M81" s="62"/>
      <c r="N81" s="528">
        <v>0.05902777777777778</v>
      </c>
      <c r="O81" s="528">
        <v>0.05902777777777778</v>
      </c>
      <c r="P81" s="528">
        <v>0.05902777777777778</v>
      </c>
      <c r="Q81" s="528">
        <v>0.05902777777777778</v>
      </c>
      <c r="R81" s="528">
        <v>0.05902777777777778</v>
      </c>
      <c r="S81" s="529">
        <v>0.05902777777777778</v>
      </c>
      <c r="T81" s="529">
        <v>0.05902777777777778</v>
      </c>
      <c r="U81" s="529">
        <v>0.05902777777777778</v>
      </c>
      <c r="V81" s="531">
        <v>0.05902777777777778</v>
      </c>
      <c r="W81" s="529"/>
      <c r="X81" s="64"/>
      <c r="Y81" s="65"/>
    </row>
    <row r="82" ht="14.25" customHeight="1">
      <c r="B82" s="69">
        <v>2.5</v>
      </c>
      <c r="C82" s="70" t="s">
        <v>106</v>
      </c>
      <c r="D82" s="154"/>
      <c r="L82" s="61"/>
      <c r="M82" s="62"/>
      <c r="N82" s="169">
        <v>1.0</v>
      </c>
      <c r="O82" s="169">
        <v>1.0</v>
      </c>
      <c r="P82" s="169">
        <v>1.0</v>
      </c>
      <c r="Q82" s="169">
        <v>1.0</v>
      </c>
      <c r="R82" s="169">
        <v>1.0</v>
      </c>
      <c r="S82" s="180">
        <v>1.0</v>
      </c>
      <c r="T82" s="180">
        <v>1.0</v>
      </c>
      <c r="U82" s="180">
        <v>1.0</v>
      </c>
      <c r="V82" s="533">
        <v>1.0</v>
      </c>
      <c r="W82" s="180">
        <f>IFERROR(__xludf.DUMMYFUNCTION("+U82"),1.0)</f>
        <v>1</v>
      </c>
      <c r="X82" s="114">
        <v>0.0</v>
      </c>
      <c r="Y82" s="65"/>
    </row>
    <row r="83" ht="14.25" customHeight="1">
      <c r="B83" s="150" t="s">
        <v>108</v>
      </c>
      <c r="C83" s="151"/>
      <c r="D83" s="167"/>
      <c r="E83" s="67"/>
      <c r="L83" s="61"/>
      <c r="M83" s="62"/>
      <c r="N83" s="63"/>
      <c r="O83" s="62"/>
      <c r="P83" s="63"/>
      <c r="Q83" s="62"/>
      <c r="R83" s="149"/>
      <c r="S83" s="68"/>
      <c r="T83" s="64"/>
      <c r="U83" s="68"/>
      <c r="V83" s="64"/>
      <c r="W83" s="68"/>
      <c r="X83" s="64"/>
      <c r="Y83" s="65"/>
    </row>
    <row r="84" ht="14.25" customHeight="1">
      <c r="B84" s="148" t="s">
        <v>28</v>
      </c>
      <c r="C84" s="70"/>
      <c r="D84" s="154"/>
      <c r="L84" s="61"/>
      <c r="M84" s="62"/>
      <c r="N84" s="63"/>
      <c r="O84" s="62"/>
      <c r="P84" s="63"/>
      <c r="Q84" s="62"/>
      <c r="R84" s="149"/>
      <c r="S84" s="68"/>
      <c r="T84" s="64"/>
      <c r="U84" s="68"/>
      <c r="V84" s="64"/>
      <c r="W84" s="68"/>
      <c r="X84" s="64"/>
      <c r="Y84" s="65"/>
    </row>
    <row r="85" ht="14.25" customHeight="1">
      <c r="B85" s="69">
        <v>2.2</v>
      </c>
      <c r="C85" s="70" t="s">
        <v>109</v>
      </c>
      <c r="D85" s="154"/>
      <c r="L85" s="61"/>
      <c r="M85" s="62"/>
      <c r="N85" s="63"/>
      <c r="O85" s="63"/>
      <c r="P85" s="63"/>
      <c r="Q85" s="63"/>
      <c r="R85" s="149"/>
      <c r="S85" s="64"/>
      <c r="T85" s="64"/>
      <c r="U85" s="64"/>
      <c r="V85" s="64"/>
      <c r="W85" s="64"/>
      <c r="X85" s="64"/>
      <c r="Y85" s="63"/>
    </row>
    <row r="86" ht="15.0" customHeight="1">
      <c r="B86" s="69"/>
      <c r="C86" s="91" t="s">
        <v>111</v>
      </c>
      <c r="D86" s="168"/>
      <c r="E86" s="168"/>
      <c r="L86" s="61"/>
      <c r="M86" s="62"/>
      <c r="N86" s="101"/>
      <c r="O86" s="169"/>
      <c r="P86" s="169">
        <v>0.1</v>
      </c>
      <c r="Q86" s="169">
        <v>0.1</v>
      </c>
      <c r="R86" s="169">
        <v>0.1</v>
      </c>
      <c r="S86" s="64"/>
      <c r="T86" s="171">
        <v>0.904</v>
      </c>
      <c r="U86" s="64"/>
      <c r="V86" s="64"/>
      <c r="W86" s="171">
        <v>0.904</v>
      </c>
      <c r="X86" s="92">
        <f>IFERROR(__xludf.DUMMYFUNCTION("+W86-R86"),0.804)</f>
        <v>0.804</v>
      </c>
      <c r="Y86" s="76" t="s">
        <v>795</v>
      </c>
    </row>
    <row r="87" ht="15.0" customHeight="1">
      <c r="B87" s="69"/>
      <c r="C87" s="91" t="s">
        <v>112</v>
      </c>
      <c r="D87" s="70"/>
      <c r="E87" s="70"/>
      <c r="F87" s="70"/>
      <c r="L87" s="61"/>
      <c r="M87" s="62"/>
      <c r="N87" s="101"/>
      <c r="O87" s="169"/>
      <c r="P87" s="169">
        <v>0.8</v>
      </c>
      <c r="Q87" s="169">
        <v>0.8</v>
      </c>
      <c r="R87" s="169">
        <v>0.8</v>
      </c>
      <c r="S87" s="64"/>
      <c r="T87" s="171">
        <v>0.886</v>
      </c>
      <c r="U87" s="64"/>
      <c r="V87" s="64"/>
      <c r="W87" s="171">
        <v>0.886</v>
      </c>
      <c r="X87" s="92">
        <f>IFERROR(__xludf.DUMMYFUNCTION("+W87-R87"),0.08599999999999997)</f>
        <v>0.086</v>
      </c>
      <c r="Y87" s="40"/>
    </row>
    <row r="88" ht="15.0" customHeight="1">
      <c r="B88" s="69"/>
      <c r="C88" s="91" t="s">
        <v>796</v>
      </c>
      <c r="D88" s="70"/>
      <c r="E88" s="70"/>
      <c r="F88" s="70"/>
      <c r="L88" s="61"/>
      <c r="M88" s="62"/>
      <c r="N88" s="101"/>
      <c r="O88" s="169"/>
      <c r="P88" s="169">
        <v>0.2</v>
      </c>
      <c r="Q88" s="169">
        <v>0.2</v>
      </c>
      <c r="R88" s="169">
        <v>0.2</v>
      </c>
      <c r="S88" s="64"/>
      <c r="T88" s="171">
        <v>0.596</v>
      </c>
      <c r="U88" s="64"/>
      <c r="V88" s="64"/>
      <c r="W88" s="171">
        <v>0.596</v>
      </c>
      <c r="X88" s="92">
        <f>IFERROR(__xludf.DUMMYFUNCTION("+W88-R88"),0.39599999999999996)</f>
        <v>0.396</v>
      </c>
      <c r="Y88" s="40"/>
    </row>
    <row r="89" ht="15.0" customHeight="1">
      <c r="B89" s="69">
        <v>2.3</v>
      </c>
      <c r="C89" s="91" t="s">
        <v>797</v>
      </c>
      <c r="D89" s="70"/>
      <c r="E89" s="70"/>
      <c r="F89" s="70"/>
      <c r="L89" s="61"/>
      <c r="M89" s="62"/>
      <c r="N89" s="63"/>
      <c r="O89" s="63"/>
      <c r="P89" s="63"/>
      <c r="Q89" s="63"/>
      <c r="R89" s="169">
        <v>0.5</v>
      </c>
      <c r="S89" s="64"/>
      <c r="T89" s="534">
        <v>1.0</v>
      </c>
      <c r="U89" s="64"/>
      <c r="V89" s="64"/>
      <c r="W89" s="534">
        <v>1.0</v>
      </c>
      <c r="X89" s="92">
        <f>IFERROR(__xludf.DUMMYFUNCTION("+W89-R89"),0.5)</f>
        <v>0.5</v>
      </c>
      <c r="Y89" s="90"/>
    </row>
    <row r="90" ht="15.0" customHeight="1">
      <c r="B90" s="148" t="s">
        <v>115</v>
      </c>
      <c r="C90" s="70"/>
      <c r="D90" s="70"/>
      <c r="E90" s="70"/>
      <c r="F90" s="70"/>
      <c r="L90" s="61"/>
      <c r="M90" s="62"/>
      <c r="N90" s="63"/>
      <c r="O90" s="63"/>
      <c r="P90" s="63"/>
      <c r="Q90" s="63"/>
      <c r="R90" s="63"/>
      <c r="S90" s="64"/>
      <c r="T90" s="64"/>
      <c r="U90" s="64"/>
      <c r="V90" s="64"/>
      <c r="W90" s="64"/>
      <c r="X90" s="64"/>
      <c r="Y90" s="63"/>
    </row>
    <row r="91" ht="114.75" customHeight="1">
      <c r="B91" s="69">
        <v>2.6</v>
      </c>
      <c r="C91" s="91" t="s">
        <v>116</v>
      </c>
      <c r="D91" s="70"/>
      <c r="E91" s="70"/>
      <c r="F91" s="70"/>
      <c r="L91" s="61"/>
      <c r="M91" s="62"/>
      <c r="N91" s="176">
        <v>141935.0</v>
      </c>
      <c r="O91" s="98">
        <v>141935.0</v>
      </c>
      <c r="P91" s="98">
        <v>141935.0</v>
      </c>
      <c r="Q91" s="98">
        <v>141935.0</v>
      </c>
      <c r="R91" s="98">
        <v>141935.0</v>
      </c>
      <c r="S91" s="98">
        <v>150528.0</v>
      </c>
      <c r="T91" s="98">
        <v>151760.0</v>
      </c>
      <c r="U91" s="98">
        <v>148683.0</v>
      </c>
      <c r="V91" s="98">
        <v>154249.0</v>
      </c>
      <c r="W91" s="98">
        <f>IFERROR(__xludf.DUMMYFUNCTION("+V91"),154249.0)</f>
        <v>154249</v>
      </c>
      <c r="X91" s="98">
        <f>IFERROR(__xludf.DUMMYFUNCTION("+W91-R91"),12314.0)</f>
        <v>12314</v>
      </c>
      <c r="Y91" s="101" t="s">
        <v>798</v>
      </c>
    </row>
    <row r="92" ht="69.0" customHeight="1">
      <c r="B92" s="69">
        <v>2.7</v>
      </c>
      <c r="C92" s="91" t="s">
        <v>799</v>
      </c>
      <c r="D92" s="70"/>
      <c r="E92" s="70"/>
      <c r="F92" s="70"/>
      <c r="L92" s="61"/>
      <c r="M92" s="62"/>
      <c r="N92" s="63"/>
      <c r="O92" s="63"/>
      <c r="P92" s="63"/>
      <c r="Q92" s="63"/>
      <c r="R92" s="139">
        <v>3000.0</v>
      </c>
      <c r="S92" s="64"/>
      <c r="T92" s="64"/>
      <c r="U92" s="98">
        <v>2543.0</v>
      </c>
      <c r="V92" s="98">
        <v>2538.0</v>
      </c>
      <c r="W92" s="98">
        <f>IFERROR(__xludf.DUMMYFUNCTION("+V92"),2538.0)</f>
        <v>2538</v>
      </c>
      <c r="X92" s="98">
        <f>IFERROR(__xludf.DUMMYFUNCTION("+W92-R92"),-462.0)</f>
        <v>-462</v>
      </c>
      <c r="Y92" s="101" t="s">
        <v>800</v>
      </c>
    </row>
    <row r="93" ht="15.0" customHeight="1">
      <c r="B93" s="150" t="s">
        <v>119</v>
      </c>
      <c r="C93" s="179"/>
      <c r="D93" s="151"/>
      <c r="E93" s="151"/>
      <c r="F93" s="151"/>
      <c r="G93" s="67"/>
      <c r="L93" s="61"/>
      <c r="M93" s="62"/>
      <c r="N93" s="63"/>
      <c r="O93" s="63"/>
      <c r="P93" s="63"/>
      <c r="Q93" s="63"/>
      <c r="R93" s="63"/>
      <c r="S93" s="64"/>
      <c r="T93" s="64"/>
      <c r="U93" s="64"/>
      <c r="V93" s="64"/>
      <c r="W93" s="64"/>
      <c r="X93" s="64"/>
      <c r="Y93" s="63"/>
    </row>
    <row r="94" ht="15.0" customHeight="1">
      <c r="B94" s="148" t="s">
        <v>87</v>
      </c>
      <c r="C94" s="144"/>
      <c r="D94" s="70"/>
      <c r="E94" s="70"/>
      <c r="F94" s="70"/>
      <c r="L94" s="61"/>
      <c r="M94" s="62"/>
      <c r="N94" s="63"/>
      <c r="O94" s="63"/>
      <c r="P94" s="63"/>
      <c r="Q94" s="63"/>
      <c r="R94" s="63"/>
      <c r="S94" s="64"/>
      <c r="T94" s="64"/>
      <c r="U94" s="64"/>
      <c r="V94" s="64"/>
      <c r="W94" s="64"/>
      <c r="X94" s="64"/>
      <c r="Y94" s="63"/>
    </row>
    <row r="95" ht="83.25" customHeight="1">
      <c r="B95" s="148">
        <v>2.4</v>
      </c>
      <c r="C95" s="91" t="s">
        <v>120</v>
      </c>
      <c r="D95" s="70"/>
      <c r="E95" s="70"/>
      <c r="F95" s="70"/>
      <c r="L95" s="61"/>
      <c r="M95" s="62"/>
      <c r="N95" s="180">
        <v>0.9</v>
      </c>
      <c r="O95" s="180">
        <v>0.9</v>
      </c>
      <c r="P95" s="180">
        <v>0.9</v>
      </c>
      <c r="Q95" s="180">
        <v>0.9</v>
      </c>
      <c r="R95" s="180">
        <v>0.9</v>
      </c>
      <c r="S95" s="114">
        <v>0.89</v>
      </c>
      <c r="T95" s="114">
        <v>0.9</v>
      </c>
      <c r="U95" s="64"/>
      <c r="V95" s="64"/>
      <c r="W95" s="114">
        <f>IFERROR(__xludf.DUMMYFUNCTION("+T95"),0.9)</f>
        <v>0.9</v>
      </c>
      <c r="X95" s="64"/>
      <c r="Y95" s="101" t="s">
        <v>801</v>
      </c>
    </row>
    <row r="96" ht="14.25" customHeight="1">
      <c r="B96" s="148" t="s">
        <v>49</v>
      </c>
      <c r="C96" s="70"/>
      <c r="D96" s="70"/>
      <c r="E96" s="77"/>
      <c r="F96" s="70"/>
      <c r="L96" s="61"/>
      <c r="M96" s="62"/>
      <c r="N96" s="63"/>
      <c r="O96" s="63"/>
      <c r="P96" s="63"/>
      <c r="Q96" s="63"/>
      <c r="R96" s="63"/>
      <c r="S96" s="64"/>
      <c r="T96" s="64"/>
      <c r="U96" s="64"/>
      <c r="V96" s="64"/>
      <c r="W96" s="64"/>
      <c r="X96" s="64"/>
      <c r="Y96" s="63"/>
    </row>
    <row r="97" ht="41.25" customHeight="1">
      <c r="B97" s="148">
        <v>2.8</v>
      </c>
      <c r="C97" s="70" t="s">
        <v>122</v>
      </c>
      <c r="D97" s="70"/>
      <c r="E97" s="77"/>
      <c r="F97" s="70"/>
      <c r="L97" s="61"/>
      <c r="M97" s="62"/>
      <c r="N97" s="83">
        <v>186760.0</v>
      </c>
      <c r="O97" s="83">
        <v>186760.0</v>
      </c>
      <c r="P97" s="83">
        <v>186760.0</v>
      </c>
      <c r="Q97" s="83">
        <v>186760.0</v>
      </c>
      <c r="R97" s="83">
        <v>186760.0</v>
      </c>
      <c r="S97" s="83">
        <v>166013.0</v>
      </c>
      <c r="T97" s="83">
        <v>117699.0</v>
      </c>
      <c r="U97" s="83">
        <v>94964.0</v>
      </c>
      <c r="V97" s="83">
        <v>144085.0</v>
      </c>
      <c r="W97" s="83">
        <f>IFERROR(__xludf.DUMMYFUNCTION("+U97"),94964.0)</f>
        <v>94964</v>
      </c>
      <c r="X97" s="83">
        <f>IFERROR(__xludf.DUMMYFUNCTION("+W97-R97"),-91796.0)</f>
        <v>-91796</v>
      </c>
      <c r="Y97" s="76" t="s">
        <v>802</v>
      </c>
    </row>
    <row r="98" ht="41.25" customHeight="1">
      <c r="B98" s="148">
        <v>2.9</v>
      </c>
      <c r="C98" s="70" t="s">
        <v>803</v>
      </c>
      <c r="D98" s="70"/>
      <c r="E98" s="77"/>
      <c r="F98" s="70"/>
      <c r="L98" s="61"/>
      <c r="M98" s="62"/>
      <c r="N98" s="83">
        <v>186760.0</v>
      </c>
      <c r="O98" s="83">
        <v>186760.0</v>
      </c>
      <c r="P98" s="83">
        <v>186760.0</v>
      </c>
      <c r="Q98" s="83">
        <v>186760.0</v>
      </c>
      <c r="R98" s="83">
        <v>186760.0</v>
      </c>
      <c r="S98" s="83">
        <v>166013.0</v>
      </c>
      <c r="T98" s="83">
        <v>117699.0</v>
      </c>
      <c r="U98" s="83">
        <v>94964.0</v>
      </c>
      <c r="V98" s="83">
        <v>144085.0</v>
      </c>
      <c r="W98" s="83">
        <f>IFERROR(__xludf.DUMMYFUNCTION("+U98"),94964.0)</f>
        <v>94964</v>
      </c>
      <c r="X98" s="83">
        <f>IFERROR(__xludf.DUMMYFUNCTION("+W98-R98"),-91796.0)</f>
        <v>-91796</v>
      </c>
      <c r="Y98" s="90"/>
    </row>
    <row r="99" ht="14.25" customHeight="1">
      <c r="B99" s="148">
        <v>2.1</v>
      </c>
      <c r="C99" s="70" t="s">
        <v>124</v>
      </c>
      <c r="D99" s="70"/>
      <c r="E99" s="77"/>
      <c r="L99" s="61"/>
      <c r="M99" s="62"/>
      <c r="N99" s="63"/>
      <c r="O99" s="62"/>
      <c r="P99" s="63"/>
      <c r="Q99" s="62"/>
      <c r="R99" s="64">
        <v>25.0</v>
      </c>
      <c r="S99" s="68">
        <v>9.0</v>
      </c>
      <c r="T99" s="64">
        <v>15.0</v>
      </c>
      <c r="U99" s="68">
        <v>22.0</v>
      </c>
      <c r="V99" s="64">
        <v>32.0</v>
      </c>
      <c r="W99" s="68">
        <f>IFERROR(__xludf.DUMMYFUNCTION("+V99"),32.0)</f>
        <v>32</v>
      </c>
      <c r="X99" s="83">
        <f>IFERROR(__xludf.DUMMYFUNCTION("+W99-R99"),7.0)</f>
        <v>7</v>
      </c>
      <c r="Y99" s="65"/>
    </row>
    <row r="100" ht="14.25" customHeight="1">
      <c r="B100" s="150" t="s">
        <v>125</v>
      </c>
      <c r="C100" s="151"/>
      <c r="D100" s="151"/>
      <c r="E100" s="151"/>
      <c r="F100" s="67"/>
      <c r="G100" s="67"/>
      <c r="H100" s="67"/>
      <c r="I100" s="67"/>
      <c r="J100" s="67"/>
      <c r="K100" s="67"/>
      <c r="L100" s="182"/>
      <c r="M100" s="62"/>
      <c r="N100" s="63"/>
      <c r="O100" s="62"/>
      <c r="P100" s="63"/>
      <c r="Q100" s="62"/>
      <c r="R100" s="63"/>
      <c r="S100" s="68"/>
      <c r="T100" s="64"/>
      <c r="U100" s="68"/>
      <c r="V100" s="64"/>
      <c r="W100" s="68"/>
      <c r="X100" s="64"/>
      <c r="Y100" s="65"/>
    </row>
    <row r="101" ht="14.25" customHeight="1">
      <c r="B101" s="148" t="s">
        <v>87</v>
      </c>
      <c r="C101" s="70"/>
      <c r="D101" s="144"/>
      <c r="E101" s="183"/>
      <c r="F101" s="184"/>
      <c r="G101" s="184"/>
      <c r="H101" s="184"/>
      <c r="I101" s="184"/>
      <c r="J101" s="184"/>
      <c r="L101" s="61"/>
      <c r="M101" s="62"/>
      <c r="N101" s="64"/>
      <c r="O101" s="68"/>
      <c r="P101" s="64"/>
      <c r="Q101" s="68"/>
      <c r="R101" s="64"/>
      <c r="S101" s="68"/>
      <c r="T101" s="64"/>
      <c r="U101" s="68"/>
      <c r="V101" s="64"/>
      <c r="W101" s="68"/>
      <c r="X101" s="73"/>
      <c r="Y101" s="65"/>
    </row>
    <row r="102" ht="15.0" customHeight="1">
      <c r="B102" s="69">
        <v>2.5</v>
      </c>
      <c r="C102" s="185" t="s">
        <v>804</v>
      </c>
      <c r="D102" s="186"/>
      <c r="E102" s="186"/>
      <c r="F102" s="184"/>
      <c r="G102" s="184"/>
      <c r="H102" s="184"/>
      <c r="I102" s="184"/>
      <c r="J102" s="184"/>
      <c r="L102" s="61"/>
      <c r="M102" s="62"/>
      <c r="N102" s="63"/>
      <c r="O102" s="62"/>
      <c r="P102" s="63"/>
      <c r="Q102" s="62"/>
      <c r="R102" s="114">
        <v>0.75</v>
      </c>
      <c r="S102" s="68"/>
      <c r="T102" s="92">
        <v>0.9977</v>
      </c>
      <c r="U102" s="68"/>
      <c r="V102" s="64"/>
      <c r="W102" s="145">
        <f>IFERROR(__xludf.DUMMYFUNCTION("+T102"),0.9977)</f>
        <v>0.9977</v>
      </c>
      <c r="X102" s="92">
        <f>IFERROR(__xludf.DUMMYFUNCTION("+W102-R102"),0.24770000000000003)</f>
        <v>0.2477</v>
      </c>
      <c r="Y102" s="89" t="s">
        <v>805</v>
      </c>
    </row>
    <row r="103" ht="14.25" customHeight="1">
      <c r="B103" s="148" t="s">
        <v>49</v>
      </c>
      <c r="C103" s="70"/>
      <c r="D103" s="183"/>
      <c r="E103" s="184"/>
      <c r="F103" s="184"/>
      <c r="G103" s="184"/>
      <c r="H103" s="184"/>
      <c r="I103" s="184"/>
      <c r="J103" s="184"/>
      <c r="L103" s="61"/>
      <c r="M103" s="62"/>
      <c r="N103" s="63"/>
      <c r="O103" s="62"/>
      <c r="P103" s="63"/>
      <c r="Q103" s="62"/>
      <c r="R103" s="63"/>
      <c r="S103" s="68"/>
      <c r="T103" s="64"/>
      <c r="U103" s="68"/>
      <c r="V103" s="64"/>
      <c r="W103" s="68"/>
      <c r="X103" s="64"/>
      <c r="Y103" s="65"/>
    </row>
    <row r="104" ht="14.25" customHeight="1">
      <c r="B104" s="69">
        <v>2.11</v>
      </c>
      <c r="C104" s="70" t="s">
        <v>130</v>
      </c>
      <c r="D104" s="154"/>
      <c r="L104" s="61"/>
      <c r="M104" s="62"/>
      <c r="N104" s="63"/>
      <c r="O104" s="62"/>
      <c r="P104" s="63"/>
      <c r="Q104" s="62"/>
      <c r="R104" s="83">
        <v>20000.0</v>
      </c>
      <c r="S104" s="68"/>
      <c r="T104" s="64"/>
      <c r="U104" s="68"/>
      <c r="V104" s="64"/>
      <c r="W104" s="68">
        <f>SUM(W105:W110)</f>
        <v>20353</v>
      </c>
      <c r="X104" s="191">
        <f>IFERROR(__xludf.DUMMYFUNCTION("+W104-R104"),353.0)</f>
        <v>353</v>
      </c>
      <c r="Y104" s="65"/>
    </row>
    <row r="105" ht="14.25" customHeight="1">
      <c r="B105" s="69"/>
      <c r="C105" s="77" t="s">
        <v>133</v>
      </c>
      <c r="D105" s="154"/>
      <c r="L105" s="61"/>
      <c r="M105" s="62"/>
      <c r="N105" s="63"/>
      <c r="O105" s="62"/>
      <c r="P105" s="63"/>
      <c r="Q105" s="62"/>
      <c r="R105" s="83"/>
      <c r="S105" s="68">
        <v>1814.0</v>
      </c>
      <c r="T105" s="64">
        <v>3307.0</v>
      </c>
      <c r="U105" s="68">
        <v>2702.0</v>
      </c>
      <c r="V105" s="64">
        <v>5185.0</v>
      </c>
      <c r="W105" s="68">
        <f t="shared" ref="W105:W110" si="1">SUM(S105:V105)</f>
        <v>13008</v>
      </c>
      <c r="X105" s="64"/>
      <c r="Y105" s="65"/>
    </row>
    <row r="106" ht="14.25" customHeight="1">
      <c r="B106" s="69"/>
      <c r="C106" s="77" t="s">
        <v>134</v>
      </c>
      <c r="D106" s="154"/>
      <c r="L106" s="61"/>
      <c r="M106" s="62"/>
      <c r="N106" s="63"/>
      <c r="O106" s="62"/>
      <c r="P106" s="63"/>
      <c r="Q106" s="62"/>
      <c r="R106" s="83"/>
      <c r="S106" s="68">
        <v>513.0</v>
      </c>
      <c r="T106" s="64">
        <v>841.0</v>
      </c>
      <c r="U106" s="68">
        <v>942.0</v>
      </c>
      <c r="V106" s="64">
        <v>1908.0</v>
      </c>
      <c r="W106" s="68">
        <f t="shared" si="1"/>
        <v>4204</v>
      </c>
      <c r="X106" s="64"/>
      <c r="Y106" s="65"/>
    </row>
    <row r="107" ht="14.25" customHeight="1">
      <c r="B107" s="69"/>
      <c r="C107" s="77" t="s">
        <v>135</v>
      </c>
      <c r="D107" s="154"/>
      <c r="L107" s="61"/>
      <c r="M107" s="62"/>
      <c r="N107" s="63"/>
      <c r="O107" s="62"/>
      <c r="P107" s="63"/>
      <c r="Q107" s="62"/>
      <c r="R107" s="83"/>
      <c r="S107" s="68">
        <v>138.0</v>
      </c>
      <c r="T107" s="64">
        <v>211.0</v>
      </c>
      <c r="U107" s="68">
        <v>147.0</v>
      </c>
      <c r="V107" s="64">
        <v>95.0</v>
      </c>
      <c r="W107" s="68">
        <f t="shared" si="1"/>
        <v>591</v>
      </c>
      <c r="X107" s="64"/>
      <c r="Y107" s="65"/>
    </row>
    <row r="108" ht="14.25" customHeight="1">
      <c r="B108" s="69"/>
      <c r="C108" s="70" t="s">
        <v>136</v>
      </c>
      <c r="D108" s="183"/>
      <c r="L108" s="61"/>
      <c r="M108" s="62"/>
      <c r="N108" s="63"/>
      <c r="O108" s="62"/>
      <c r="P108" s="63"/>
      <c r="Q108" s="62"/>
      <c r="R108" s="63"/>
      <c r="S108" s="68">
        <v>27.0</v>
      </c>
      <c r="T108" s="64">
        <v>69.0</v>
      </c>
      <c r="U108" s="68">
        <v>72.0</v>
      </c>
      <c r="V108" s="64">
        <v>48.0</v>
      </c>
      <c r="W108" s="68">
        <f t="shared" si="1"/>
        <v>216</v>
      </c>
      <c r="X108" s="64"/>
      <c r="Y108" s="65"/>
    </row>
    <row r="109" ht="14.25" customHeight="1">
      <c r="B109" s="69"/>
      <c r="C109" s="70" t="s">
        <v>137</v>
      </c>
      <c r="D109" s="154"/>
      <c r="L109" s="61"/>
      <c r="M109" s="62"/>
      <c r="N109" s="63"/>
      <c r="O109" s="62"/>
      <c r="P109" s="63"/>
      <c r="Q109" s="62"/>
      <c r="R109" s="63"/>
      <c r="S109" s="68">
        <v>29.0</v>
      </c>
      <c r="T109" s="64">
        <v>119.0</v>
      </c>
      <c r="U109" s="68">
        <v>89.0</v>
      </c>
      <c r="V109" s="64">
        <v>142.0</v>
      </c>
      <c r="W109" s="68">
        <f t="shared" si="1"/>
        <v>379</v>
      </c>
      <c r="X109" s="64"/>
      <c r="Y109" s="65"/>
    </row>
    <row r="110" ht="14.25" customHeight="1">
      <c r="B110" s="69"/>
      <c r="C110" s="77" t="s">
        <v>138</v>
      </c>
      <c r="D110" s="154"/>
      <c r="L110" s="61"/>
      <c r="M110" s="62"/>
      <c r="N110" s="64"/>
      <c r="O110" s="68"/>
      <c r="P110" s="64"/>
      <c r="Q110" s="68"/>
      <c r="R110" s="64"/>
      <c r="S110" s="68">
        <v>348.0</v>
      </c>
      <c r="T110" s="64">
        <v>511.0</v>
      </c>
      <c r="U110" s="68">
        <v>398.0</v>
      </c>
      <c r="V110" s="64">
        <v>698.0</v>
      </c>
      <c r="W110" s="68">
        <f t="shared" si="1"/>
        <v>1955</v>
      </c>
      <c r="X110" s="64"/>
      <c r="Y110" s="65"/>
    </row>
    <row r="111" ht="28.5" customHeight="1">
      <c r="B111" s="69">
        <v>2.11</v>
      </c>
      <c r="C111" s="77" t="s">
        <v>159</v>
      </c>
      <c r="D111" s="183"/>
      <c r="L111" s="61"/>
      <c r="M111" s="62"/>
      <c r="N111" s="64" t="s">
        <v>131</v>
      </c>
      <c r="O111" s="68" t="s">
        <v>131</v>
      </c>
      <c r="P111" s="64" t="s">
        <v>131</v>
      </c>
      <c r="Q111" s="68" t="s">
        <v>131</v>
      </c>
      <c r="R111" s="64" t="s">
        <v>131</v>
      </c>
      <c r="S111" s="68"/>
      <c r="T111" s="64"/>
      <c r="U111" s="68"/>
      <c r="V111" s="64"/>
      <c r="W111" s="68"/>
      <c r="X111" s="64"/>
      <c r="Y111" s="76" t="s">
        <v>806</v>
      </c>
    </row>
    <row r="112" ht="28.5" customHeight="1">
      <c r="B112" s="69"/>
      <c r="C112" s="91" t="s">
        <v>807</v>
      </c>
      <c r="D112" s="183"/>
      <c r="E112" s="70"/>
      <c r="L112" s="61"/>
      <c r="M112" s="62"/>
      <c r="N112" s="64"/>
      <c r="O112" s="68"/>
      <c r="P112" s="64"/>
      <c r="Q112" s="68"/>
      <c r="R112" s="64" t="s">
        <v>131</v>
      </c>
      <c r="S112" s="68"/>
      <c r="T112" s="64"/>
      <c r="U112" s="68"/>
      <c r="V112" s="64"/>
      <c r="W112" s="68"/>
      <c r="X112" s="64"/>
      <c r="Y112" s="40"/>
    </row>
    <row r="113" ht="28.5" customHeight="1">
      <c r="B113" s="69"/>
      <c r="C113" s="91" t="s">
        <v>164</v>
      </c>
      <c r="D113" s="183"/>
      <c r="E113" s="70"/>
      <c r="L113" s="61"/>
      <c r="M113" s="62"/>
      <c r="N113" s="64"/>
      <c r="O113" s="68"/>
      <c r="P113" s="64"/>
      <c r="Q113" s="68"/>
      <c r="R113" s="64" t="s">
        <v>131</v>
      </c>
      <c r="S113" s="68"/>
      <c r="T113" s="64"/>
      <c r="U113" s="68"/>
      <c r="V113" s="64"/>
      <c r="W113" s="68"/>
      <c r="X113" s="64"/>
      <c r="Y113" s="40"/>
    </row>
    <row r="114" ht="28.5" customHeight="1">
      <c r="B114" s="69"/>
      <c r="C114" s="91" t="s">
        <v>165</v>
      </c>
      <c r="D114" s="183"/>
      <c r="E114" s="70"/>
      <c r="L114" s="61"/>
      <c r="M114" s="62"/>
      <c r="N114" s="64"/>
      <c r="O114" s="68"/>
      <c r="P114" s="64"/>
      <c r="Q114" s="68"/>
      <c r="R114" s="64" t="s">
        <v>131</v>
      </c>
      <c r="S114" s="68"/>
      <c r="T114" s="64"/>
      <c r="U114" s="68"/>
      <c r="V114" s="64"/>
      <c r="W114" s="68"/>
      <c r="X114" s="64"/>
      <c r="Y114" s="40"/>
    </row>
    <row r="115" ht="28.5" customHeight="1">
      <c r="B115" s="69"/>
      <c r="C115" s="91" t="s">
        <v>166</v>
      </c>
      <c r="D115" s="183"/>
      <c r="E115" s="70"/>
      <c r="L115" s="61"/>
      <c r="M115" s="62"/>
      <c r="N115" s="64"/>
      <c r="O115" s="68"/>
      <c r="P115" s="64"/>
      <c r="Q115" s="68"/>
      <c r="R115" s="64" t="s">
        <v>131</v>
      </c>
      <c r="S115" s="68"/>
      <c r="T115" s="64"/>
      <c r="U115" s="68"/>
      <c r="V115" s="64"/>
      <c r="W115" s="68"/>
      <c r="X115" s="64"/>
      <c r="Y115" s="40"/>
    </row>
    <row r="116" ht="28.5" customHeight="1">
      <c r="B116" s="69"/>
      <c r="C116" s="91" t="s">
        <v>188</v>
      </c>
      <c r="D116" s="183"/>
      <c r="E116" s="70"/>
      <c r="L116" s="61"/>
      <c r="M116" s="62"/>
      <c r="N116" s="64"/>
      <c r="O116" s="68"/>
      <c r="P116" s="64"/>
      <c r="Q116" s="68"/>
      <c r="R116" s="64" t="s">
        <v>131</v>
      </c>
      <c r="S116" s="68"/>
      <c r="T116" s="64"/>
      <c r="U116" s="68"/>
      <c r="V116" s="64"/>
      <c r="W116" s="68"/>
      <c r="X116" s="64"/>
      <c r="Y116" s="90"/>
    </row>
    <row r="117" ht="14.25" customHeight="1">
      <c r="B117" s="69">
        <v>2.12</v>
      </c>
      <c r="C117" s="70" t="s">
        <v>162</v>
      </c>
      <c r="D117" s="143"/>
      <c r="E117" s="143"/>
      <c r="L117" s="61"/>
      <c r="M117" s="62"/>
      <c r="N117" s="64" t="s">
        <v>131</v>
      </c>
      <c r="O117" s="68" t="s">
        <v>131</v>
      </c>
      <c r="P117" s="64" t="s">
        <v>131</v>
      </c>
      <c r="Q117" s="68" t="s">
        <v>131</v>
      </c>
      <c r="R117" s="64" t="s">
        <v>131</v>
      </c>
      <c r="S117" s="68"/>
      <c r="T117" s="64"/>
      <c r="U117" s="68"/>
      <c r="V117" s="64"/>
      <c r="W117" s="68"/>
      <c r="X117" s="64"/>
      <c r="Y117" s="65"/>
    </row>
    <row r="118" ht="14.25" customHeight="1">
      <c r="B118" s="69"/>
      <c r="C118" s="91" t="s">
        <v>163</v>
      </c>
      <c r="D118" s="144"/>
      <c r="E118" s="144"/>
      <c r="L118" s="61"/>
      <c r="M118" s="62"/>
      <c r="N118" s="64"/>
      <c r="O118" s="68"/>
      <c r="P118" s="64"/>
      <c r="Q118" s="68"/>
      <c r="R118" s="64" t="s">
        <v>131</v>
      </c>
      <c r="S118" s="68">
        <v>1478.0</v>
      </c>
      <c r="T118" s="64">
        <v>2713.0</v>
      </c>
      <c r="U118" s="68">
        <v>2305.0</v>
      </c>
      <c r="V118" s="64">
        <v>4385.0</v>
      </c>
      <c r="W118" s="68">
        <f>IFERROR(__xludf.DUMMYFUNCTION("+SUM(S118:V118)"),10881.0)</f>
        <v>10881</v>
      </c>
      <c r="X118" s="73"/>
      <c r="Y118" s="65"/>
    </row>
    <row r="119" ht="14.25" customHeight="1">
      <c r="B119" s="69"/>
      <c r="C119" s="91" t="s">
        <v>164</v>
      </c>
      <c r="D119" s="70"/>
      <c r="L119" s="61"/>
      <c r="M119" s="62"/>
      <c r="N119" s="64"/>
      <c r="O119" s="68"/>
      <c r="P119" s="64"/>
      <c r="Q119" s="68"/>
      <c r="R119" s="64" t="s">
        <v>131</v>
      </c>
      <c r="S119" s="68">
        <v>371.0</v>
      </c>
      <c r="T119" s="64">
        <v>412.0</v>
      </c>
      <c r="U119" s="68">
        <v>89.0</v>
      </c>
      <c r="V119" s="64">
        <v>62.0</v>
      </c>
      <c r="W119" s="68">
        <f>IFERROR(__xludf.DUMMYFUNCTION("+SUM(S119:V119)"),934.0)</f>
        <v>934</v>
      </c>
      <c r="X119" s="64"/>
      <c r="Y119" s="65"/>
    </row>
    <row r="120" ht="14.25" customHeight="1">
      <c r="B120" s="69"/>
      <c r="C120" s="70" t="s">
        <v>165</v>
      </c>
      <c r="D120" s="197"/>
      <c r="L120" s="61"/>
      <c r="M120" s="62"/>
      <c r="N120" s="64"/>
      <c r="O120" s="68"/>
      <c r="P120" s="64"/>
      <c r="Q120" s="68"/>
      <c r="R120" s="64" t="s">
        <v>131</v>
      </c>
      <c r="S120" s="68">
        <v>182.0</v>
      </c>
      <c r="T120" s="64">
        <v>309.0</v>
      </c>
      <c r="U120" s="68">
        <v>217.0</v>
      </c>
      <c r="V120" s="64">
        <v>304.0</v>
      </c>
      <c r="W120" s="68">
        <f>IFERROR(__xludf.DUMMYFUNCTION("+SUM(S120:V120)"),1012.0)</f>
        <v>1012</v>
      </c>
      <c r="X120" s="64"/>
      <c r="Y120" s="65"/>
    </row>
    <row r="121" ht="14.25" customHeight="1">
      <c r="B121" s="69"/>
      <c r="C121" s="70" t="s">
        <v>166</v>
      </c>
      <c r="D121" s="197"/>
      <c r="L121" s="61"/>
      <c r="M121" s="62"/>
      <c r="N121" s="64"/>
      <c r="O121" s="68"/>
      <c r="P121" s="64"/>
      <c r="Q121" s="68"/>
      <c r="R121" s="64" t="s">
        <v>131</v>
      </c>
      <c r="S121" s="68">
        <v>45.0</v>
      </c>
      <c r="T121" s="64">
        <v>64.0</v>
      </c>
      <c r="U121" s="68">
        <v>246.0</v>
      </c>
      <c r="V121" s="64">
        <v>224.0</v>
      </c>
      <c r="W121" s="68">
        <f>IFERROR(__xludf.DUMMYFUNCTION("+SUM(S121:V121)"),579.0)</f>
        <v>579</v>
      </c>
      <c r="X121" s="64"/>
      <c r="Y121" s="65"/>
    </row>
    <row r="122" ht="14.25" customHeight="1">
      <c r="B122" s="69">
        <v>2.13</v>
      </c>
      <c r="C122" s="70" t="s">
        <v>167</v>
      </c>
      <c r="D122" s="197"/>
      <c r="L122" s="61"/>
      <c r="M122" s="62"/>
      <c r="N122" s="64"/>
      <c r="O122" s="68"/>
      <c r="P122" s="64"/>
      <c r="Q122" s="68"/>
      <c r="R122" s="64"/>
      <c r="S122" s="68"/>
      <c r="T122" s="64"/>
      <c r="U122" s="68"/>
      <c r="V122" s="64"/>
      <c r="W122" s="68"/>
      <c r="X122" s="64"/>
      <c r="Y122" s="65"/>
    </row>
    <row r="123" ht="14.25" customHeight="1">
      <c r="B123" s="69"/>
      <c r="C123" s="70" t="s">
        <v>169</v>
      </c>
      <c r="D123" s="70"/>
      <c r="L123" s="61"/>
      <c r="M123" s="62"/>
      <c r="N123" s="64"/>
      <c r="O123" s="68"/>
      <c r="P123" s="64"/>
      <c r="Q123" s="68"/>
      <c r="R123" s="64"/>
      <c r="S123" s="68"/>
      <c r="T123" s="64"/>
      <c r="U123" s="68"/>
      <c r="V123" s="64"/>
      <c r="W123" s="68"/>
      <c r="X123" s="64"/>
      <c r="Y123" s="65"/>
    </row>
    <row r="124" ht="14.25" customHeight="1">
      <c r="B124" s="69"/>
      <c r="C124" s="91" t="s">
        <v>170</v>
      </c>
      <c r="D124" s="70"/>
      <c r="L124" s="61"/>
      <c r="M124" s="62"/>
      <c r="N124" s="63"/>
      <c r="O124" s="62"/>
      <c r="P124" s="63"/>
      <c r="Q124" s="62"/>
      <c r="R124" s="63"/>
      <c r="S124" s="68"/>
      <c r="T124" s="64"/>
      <c r="U124" s="68"/>
      <c r="V124" s="64"/>
      <c r="W124" s="68"/>
      <c r="X124" s="64"/>
      <c r="Y124" s="65"/>
    </row>
    <row r="125" ht="14.25" customHeight="1">
      <c r="B125" s="69"/>
      <c r="C125" s="91" t="s">
        <v>171</v>
      </c>
      <c r="D125" s="70"/>
      <c r="L125" s="61"/>
      <c r="M125" s="62"/>
      <c r="N125" s="63"/>
      <c r="O125" s="62"/>
      <c r="P125" s="63"/>
      <c r="Q125" s="62"/>
      <c r="R125" s="63"/>
      <c r="S125" s="68"/>
      <c r="T125" s="64"/>
      <c r="U125" s="68"/>
      <c r="V125" s="64"/>
      <c r="W125" s="68"/>
      <c r="X125" s="64"/>
      <c r="Y125" s="65"/>
    </row>
    <row r="126" ht="14.25" customHeight="1">
      <c r="B126" s="69"/>
      <c r="C126" s="91" t="s">
        <v>172</v>
      </c>
      <c r="D126" s="70"/>
      <c r="L126" s="61"/>
      <c r="M126" s="62"/>
      <c r="N126" s="63"/>
      <c r="O126" s="62"/>
      <c r="P126" s="63"/>
      <c r="Q126" s="62"/>
      <c r="R126" s="63"/>
      <c r="S126" s="68"/>
      <c r="T126" s="64"/>
      <c r="U126" s="68"/>
      <c r="V126" s="64"/>
      <c r="W126" s="68"/>
      <c r="X126" s="64"/>
      <c r="Y126" s="65"/>
    </row>
    <row r="127" ht="14.25" customHeight="1">
      <c r="B127" s="69"/>
      <c r="C127" s="91" t="s">
        <v>173</v>
      </c>
      <c r="D127" s="70"/>
      <c r="L127" s="61"/>
      <c r="M127" s="62"/>
      <c r="N127" s="63"/>
      <c r="O127" s="62"/>
      <c r="P127" s="63"/>
      <c r="Q127" s="62"/>
      <c r="R127" s="63"/>
      <c r="S127" s="68"/>
      <c r="T127" s="64"/>
      <c r="U127" s="68"/>
      <c r="V127" s="64"/>
      <c r="W127" s="68"/>
      <c r="X127" s="64"/>
      <c r="Y127" s="65"/>
    </row>
    <row r="128" ht="14.25" customHeight="1">
      <c r="B128" s="69"/>
      <c r="C128" s="91" t="s">
        <v>174</v>
      </c>
      <c r="D128" s="70"/>
      <c r="L128" s="61"/>
      <c r="M128" s="62"/>
      <c r="N128" s="63"/>
      <c r="O128" s="62"/>
      <c r="P128" s="63"/>
      <c r="Q128" s="62"/>
      <c r="R128" s="63"/>
      <c r="S128" s="68"/>
      <c r="T128" s="64"/>
      <c r="U128" s="68"/>
      <c r="V128" s="64"/>
      <c r="W128" s="68"/>
      <c r="X128" s="64"/>
      <c r="Y128" s="65"/>
    </row>
    <row r="129" ht="14.25" customHeight="1">
      <c r="B129" s="69">
        <v>2.14</v>
      </c>
      <c r="C129" s="91" t="s">
        <v>176</v>
      </c>
      <c r="D129" s="70"/>
      <c r="L129" s="61"/>
      <c r="M129" s="62"/>
      <c r="N129" s="63"/>
      <c r="O129" s="62"/>
      <c r="P129" s="63"/>
      <c r="Q129" s="62"/>
      <c r="R129" s="63"/>
      <c r="S129" s="68"/>
      <c r="T129" s="64"/>
      <c r="U129" s="68"/>
      <c r="V129" s="64"/>
      <c r="W129" s="68"/>
      <c r="X129" s="64"/>
      <c r="Y129" s="65"/>
    </row>
    <row r="130" ht="14.25" customHeight="1">
      <c r="B130" s="69"/>
      <c r="C130" s="91" t="s">
        <v>808</v>
      </c>
      <c r="D130" s="70"/>
      <c r="L130" s="61"/>
      <c r="M130" s="62"/>
      <c r="N130" s="64">
        <v>4.0</v>
      </c>
      <c r="O130" s="68">
        <v>4.0</v>
      </c>
      <c r="P130" s="64">
        <v>4.0</v>
      </c>
      <c r="Q130" s="68">
        <v>4.0</v>
      </c>
      <c r="R130" s="64">
        <v>16.0</v>
      </c>
      <c r="S130" s="68">
        <v>5.0</v>
      </c>
      <c r="T130" s="64">
        <v>6.0</v>
      </c>
      <c r="U130" s="68">
        <v>15.0</v>
      </c>
      <c r="V130" s="64">
        <v>19.0</v>
      </c>
      <c r="W130" s="68">
        <f>IFERROR(__xludf.DUMMYFUNCTION("+V130"),19.0)</f>
        <v>19</v>
      </c>
      <c r="X130" s="64">
        <f>IFERROR(__xludf.DUMMYFUNCTION("+W130-R130"),3.0)</f>
        <v>3</v>
      </c>
      <c r="Y130" s="65"/>
    </row>
    <row r="131" ht="14.25" customHeight="1">
      <c r="B131" s="69"/>
      <c r="C131" s="91" t="s">
        <v>809</v>
      </c>
      <c r="D131" s="70"/>
      <c r="L131" s="61"/>
      <c r="M131" s="62"/>
      <c r="N131" s="64">
        <v>2.0</v>
      </c>
      <c r="O131" s="68">
        <v>2.0</v>
      </c>
      <c r="P131" s="64">
        <v>2.0</v>
      </c>
      <c r="Q131" s="68">
        <v>2.0</v>
      </c>
      <c r="R131" s="64">
        <v>8.0</v>
      </c>
      <c r="S131" s="68">
        <v>23.0</v>
      </c>
      <c r="T131" s="64">
        <v>26.0</v>
      </c>
      <c r="U131" s="68">
        <v>11.0</v>
      </c>
      <c r="V131" s="64">
        <v>30.0</v>
      </c>
      <c r="W131" s="68">
        <f>IFERROR(__xludf.DUMMYFUNCTION("+V131"),30.0)</f>
        <v>30</v>
      </c>
      <c r="X131" s="64">
        <f>IFERROR(__xludf.DUMMYFUNCTION("+W131-R131"),22.0)</f>
        <v>22</v>
      </c>
      <c r="Y131" s="65"/>
    </row>
    <row r="132" ht="14.25" customHeight="1">
      <c r="B132" s="69"/>
      <c r="C132" s="91" t="s">
        <v>810</v>
      </c>
      <c r="D132" s="70"/>
      <c r="L132" s="61"/>
      <c r="M132" s="62"/>
      <c r="N132" s="64">
        <v>1.0</v>
      </c>
      <c r="O132" s="68">
        <v>1.0</v>
      </c>
      <c r="P132" s="64">
        <v>1.0</v>
      </c>
      <c r="Q132" s="68">
        <v>1.0</v>
      </c>
      <c r="R132" s="64">
        <v>4.0</v>
      </c>
      <c r="S132" s="68">
        <v>0.0</v>
      </c>
      <c r="T132" s="64">
        <v>2.0</v>
      </c>
      <c r="U132" s="68">
        <v>2.0</v>
      </c>
      <c r="V132" s="64">
        <v>3.0</v>
      </c>
      <c r="W132" s="68">
        <f>IFERROR(__xludf.DUMMYFUNCTION("+V132"),3.0)</f>
        <v>3</v>
      </c>
      <c r="X132" s="64">
        <f>IFERROR(__xludf.DUMMYFUNCTION("+W132-R132"),-1.0)</f>
        <v>-1</v>
      </c>
      <c r="Y132" s="65"/>
    </row>
    <row r="133" ht="14.25" customHeight="1">
      <c r="B133" s="69">
        <v>2.15</v>
      </c>
      <c r="C133" s="91" t="s">
        <v>175</v>
      </c>
      <c r="D133" s="70"/>
      <c r="L133" s="61"/>
      <c r="M133" s="62"/>
      <c r="N133" s="64">
        <v>132.0</v>
      </c>
      <c r="O133" s="68">
        <v>131.0</v>
      </c>
      <c r="P133" s="64">
        <v>131.0</v>
      </c>
      <c r="Q133" s="68">
        <v>131.0</v>
      </c>
      <c r="R133" s="64">
        <v>525.0</v>
      </c>
      <c r="S133" s="68">
        <v>233.0</v>
      </c>
      <c r="T133" s="64">
        <v>313.0</v>
      </c>
      <c r="U133" s="68">
        <v>189.0</v>
      </c>
      <c r="V133" s="64">
        <v>226.0</v>
      </c>
      <c r="W133" s="68">
        <f>SUM(S133:V133)</f>
        <v>961</v>
      </c>
      <c r="X133" s="64">
        <f>IFERROR(__xludf.DUMMYFUNCTION("+W133-R133"),436.0)</f>
        <v>436</v>
      </c>
      <c r="Y133" s="65"/>
    </row>
    <row r="134" ht="14.25" customHeight="1">
      <c r="B134" s="150" t="s">
        <v>182</v>
      </c>
      <c r="C134" s="151"/>
      <c r="D134" s="151"/>
      <c r="E134" s="152"/>
      <c r="F134" s="67"/>
      <c r="G134" s="67"/>
      <c r="H134" s="67"/>
      <c r="I134" s="67"/>
      <c r="J134" s="67"/>
      <c r="K134" s="67"/>
      <c r="L134" s="61"/>
      <c r="M134" s="62"/>
      <c r="N134" s="63"/>
      <c r="O134" s="62"/>
      <c r="P134" s="63"/>
      <c r="Q134" s="62"/>
      <c r="R134" s="63"/>
      <c r="S134" s="68"/>
      <c r="T134" s="64"/>
      <c r="U134" s="68"/>
      <c r="V134" s="64"/>
      <c r="W134" s="68"/>
      <c r="X134" s="64"/>
      <c r="Y134" s="65"/>
    </row>
    <row r="135" ht="14.25" customHeight="1">
      <c r="B135" s="148" t="s">
        <v>87</v>
      </c>
      <c r="C135" s="183"/>
      <c r="D135" s="144"/>
      <c r="E135" s="144"/>
      <c r="L135" s="61"/>
      <c r="M135" s="62"/>
      <c r="N135" s="63"/>
      <c r="O135" s="62"/>
      <c r="P135" s="63"/>
      <c r="Q135" s="62"/>
      <c r="R135" s="63"/>
      <c r="S135" s="68"/>
      <c r="T135" s="64"/>
      <c r="U135" s="68"/>
      <c r="V135" s="64"/>
      <c r="W135" s="68"/>
      <c r="X135" s="64"/>
      <c r="Y135" s="65"/>
    </row>
    <row r="136" ht="14.25" customHeight="1">
      <c r="B136" s="69">
        <v>2.6</v>
      </c>
      <c r="C136" s="91" t="s">
        <v>183</v>
      </c>
      <c r="D136" s="70"/>
      <c r="L136" s="61"/>
      <c r="M136" s="62"/>
      <c r="N136" s="63"/>
      <c r="O136" s="62"/>
      <c r="P136" s="63"/>
      <c r="Q136" s="62"/>
      <c r="R136" s="63"/>
      <c r="S136" s="68"/>
      <c r="T136" s="64"/>
      <c r="U136" s="68"/>
      <c r="V136" s="64"/>
      <c r="W136" s="68"/>
      <c r="X136" s="64"/>
      <c r="Y136" s="65"/>
    </row>
    <row r="137" ht="14.25" customHeight="1">
      <c r="B137" s="69"/>
      <c r="C137" s="91" t="s">
        <v>184</v>
      </c>
      <c r="D137" s="70"/>
      <c r="L137" s="61"/>
      <c r="M137" s="62"/>
      <c r="N137" s="63"/>
      <c r="O137" s="62"/>
      <c r="P137" s="63"/>
      <c r="Q137" s="62"/>
      <c r="R137" s="114">
        <v>0.5</v>
      </c>
      <c r="S137" s="115">
        <v>0.11</v>
      </c>
      <c r="T137" s="114">
        <v>0.2381</v>
      </c>
      <c r="U137" s="115">
        <v>0.7693</v>
      </c>
      <c r="V137" s="114">
        <v>0.7105263157894737</v>
      </c>
      <c r="W137" s="115">
        <v>0.633</v>
      </c>
      <c r="X137" s="180">
        <f>IFERROR(__xludf.DUMMYFUNCTION("+W137-R137"),0.133)</f>
        <v>0.133</v>
      </c>
      <c r="Y137" s="202"/>
    </row>
    <row r="138" ht="14.25" customHeight="1">
      <c r="B138" s="69"/>
      <c r="C138" s="91" t="s">
        <v>185</v>
      </c>
      <c r="D138" s="70"/>
      <c r="L138" s="61"/>
      <c r="M138" s="62"/>
      <c r="N138" s="63"/>
      <c r="O138" s="62"/>
      <c r="P138" s="63"/>
      <c r="Q138" s="62"/>
      <c r="R138" s="114" t="s">
        <v>131</v>
      </c>
      <c r="S138" s="115">
        <v>1.0</v>
      </c>
      <c r="T138" s="114">
        <v>1.0</v>
      </c>
      <c r="U138" s="115">
        <v>1.0</v>
      </c>
      <c r="V138" s="114">
        <v>1.0</v>
      </c>
      <c r="W138" s="115">
        <v>1.0</v>
      </c>
      <c r="X138" s="64"/>
      <c r="Y138" s="65"/>
    </row>
    <row r="139" ht="14.25" customHeight="1">
      <c r="B139" s="148" t="s">
        <v>49</v>
      </c>
      <c r="C139" s="70"/>
      <c r="D139" s="70"/>
      <c r="L139" s="61"/>
      <c r="M139" s="62"/>
      <c r="N139" s="63"/>
      <c r="O139" s="62"/>
      <c r="P139" s="63"/>
      <c r="Q139" s="62"/>
      <c r="R139" s="63"/>
      <c r="S139" s="68"/>
      <c r="T139" s="64"/>
      <c r="U139" s="68"/>
      <c r="V139" s="64"/>
      <c r="W139" s="68"/>
      <c r="X139" s="64"/>
      <c r="Y139" s="65"/>
    </row>
    <row r="140" ht="14.25" customHeight="1">
      <c r="B140" s="69">
        <v>2.16</v>
      </c>
      <c r="C140" s="91" t="s">
        <v>186</v>
      </c>
      <c r="D140" s="70"/>
      <c r="L140" s="61"/>
      <c r="M140" s="62"/>
      <c r="N140" s="63"/>
      <c r="O140" s="62"/>
      <c r="P140" s="63"/>
      <c r="Q140" s="62"/>
      <c r="R140" s="64">
        <v>60.0</v>
      </c>
      <c r="S140" s="68"/>
      <c r="T140" s="64"/>
      <c r="U140" s="68"/>
      <c r="V140" s="64"/>
      <c r="W140" s="68">
        <f>SUM(W141:W145)</f>
        <v>133</v>
      </c>
      <c r="X140" s="64">
        <f>IFERROR(__xludf.DUMMYFUNCTION("+W140-R140"),73.0)</f>
        <v>73</v>
      </c>
      <c r="Y140" s="99" t="s">
        <v>811</v>
      </c>
    </row>
    <row r="141" ht="14.25" customHeight="1">
      <c r="B141" s="69"/>
      <c r="C141" s="91" t="s">
        <v>187</v>
      </c>
      <c r="D141" s="70"/>
      <c r="L141" s="61"/>
      <c r="M141" s="62"/>
      <c r="N141" s="63"/>
      <c r="O141" s="62"/>
      <c r="P141" s="63"/>
      <c r="Q141" s="62"/>
      <c r="R141" s="64"/>
      <c r="S141" s="68">
        <v>5.0</v>
      </c>
      <c r="T141" s="64">
        <v>11.0</v>
      </c>
      <c r="U141" s="68">
        <v>32.0</v>
      </c>
      <c r="V141" s="64">
        <v>13.0</v>
      </c>
      <c r="W141" s="68">
        <f>IFERROR(__xludf.DUMMYFUNCTION("+SUM(S141:V141)"),61.0)</f>
        <v>61</v>
      </c>
      <c r="X141" s="64"/>
      <c r="Y141" s="65"/>
    </row>
    <row r="142" ht="14.25" customHeight="1">
      <c r="B142" s="69"/>
      <c r="C142" s="91" t="s">
        <v>164</v>
      </c>
      <c r="D142" s="70"/>
      <c r="L142" s="61"/>
      <c r="M142" s="62"/>
      <c r="N142" s="63"/>
      <c r="O142" s="62"/>
      <c r="P142" s="63"/>
      <c r="Q142" s="62"/>
      <c r="R142" s="64"/>
      <c r="S142" s="68">
        <v>4.0</v>
      </c>
      <c r="T142" s="64">
        <v>10.0</v>
      </c>
      <c r="U142" s="68">
        <v>33.0</v>
      </c>
      <c r="V142" s="64">
        <v>25.0</v>
      </c>
      <c r="W142" s="68">
        <f>IFERROR(__xludf.DUMMYFUNCTION("+SUM(S142:V142)"),72.0)</f>
        <v>72</v>
      </c>
      <c r="X142" s="64"/>
      <c r="Y142" s="65"/>
    </row>
    <row r="143" ht="14.25" customHeight="1">
      <c r="B143" s="69"/>
      <c r="C143" s="91" t="s">
        <v>165</v>
      </c>
      <c r="D143" s="70"/>
      <c r="L143" s="61"/>
      <c r="M143" s="62"/>
      <c r="N143" s="63"/>
      <c r="O143" s="62"/>
      <c r="P143" s="63"/>
      <c r="Q143" s="62"/>
      <c r="R143" s="64"/>
      <c r="S143" s="68" t="s">
        <v>368</v>
      </c>
      <c r="T143" s="64" t="s">
        <v>368</v>
      </c>
      <c r="U143" s="68" t="s">
        <v>368</v>
      </c>
      <c r="V143" s="64" t="s">
        <v>368</v>
      </c>
      <c r="W143" s="68">
        <f>IFERROR(__xludf.DUMMYFUNCTION("+SUM(S143:V143)"),0.0)</f>
        <v>0</v>
      </c>
      <c r="X143" s="64"/>
      <c r="Y143" s="65"/>
    </row>
    <row r="144" ht="14.25" customHeight="1">
      <c r="B144" s="69"/>
      <c r="C144" s="91" t="s">
        <v>166</v>
      </c>
      <c r="D144" s="70"/>
      <c r="L144" s="61"/>
      <c r="M144" s="62"/>
      <c r="N144" s="63"/>
      <c r="O144" s="62"/>
      <c r="P144" s="63"/>
      <c r="Q144" s="62"/>
      <c r="R144" s="64"/>
      <c r="S144" s="68" t="s">
        <v>368</v>
      </c>
      <c r="T144" s="64" t="s">
        <v>368</v>
      </c>
      <c r="U144" s="68" t="s">
        <v>368</v>
      </c>
      <c r="V144" s="64" t="s">
        <v>368</v>
      </c>
      <c r="W144" s="68">
        <f>IFERROR(__xludf.DUMMYFUNCTION("+SUM(S144:V144)"),0.0)</f>
        <v>0</v>
      </c>
      <c r="X144" s="64"/>
      <c r="Y144" s="65"/>
    </row>
    <row r="145" ht="14.25" customHeight="1">
      <c r="B145" s="69"/>
      <c r="C145" s="91" t="s">
        <v>188</v>
      </c>
      <c r="D145" s="70"/>
      <c r="L145" s="61"/>
      <c r="M145" s="62"/>
      <c r="N145" s="63"/>
      <c r="O145" s="62"/>
      <c r="P145" s="63"/>
      <c r="Q145" s="62"/>
      <c r="R145" s="64"/>
      <c r="S145" s="68" t="s">
        <v>368</v>
      </c>
      <c r="T145" s="64" t="s">
        <v>368</v>
      </c>
      <c r="U145" s="68" t="s">
        <v>368</v>
      </c>
      <c r="V145" s="64" t="s">
        <v>368</v>
      </c>
      <c r="W145" s="68">
        <f>IFERROR(__xludf.DUMMYFUNCTION("+SUM(S145:V145)"),0.0)</f>
        <v>0</v>
      </c>
      <c r="X145" s="64"/>
      <c r="Y145" s="65"/>
    </row>
    <row r="146" ht="14.25" customHeight="1">
      <c r="B146" s="69">
        <v>2.17</v>
      </c>
      <c r="C146" s="91" t="s">
        <v>812</v>
      </c>
      <c r="D146" s="70"/>
      <c r="L146" s="61"/>
      <c r="M146" s="62"/>
      <c r="N146" s="64" t="s">
        <v>131</v>
      </c>
      <c r="O146" s="68" t="s">
        <v>131</v>
      </c>
      <c r="P146" s="64" t="s">
        <v>131</v>
      </c>
      <c r="Q146" s="68" t="s">
        <v>131</v>
      </c>
      <c r="R146" s="64" t="s">
        <v>131</v>
      </c>
      <c r="S146" s="68"/>
      <c r="T146" s="64"/>
      <c r="U146" s="68"/>
      <c r="V146" s="64"/>
      <c r="W146" s="68"/>
      <c r="X146" s="64"/>
      <c r="Y146" s="65"/>
    </row>
    <row r="147" ht="14.25" customHeight="1">
      <c r="B147" s="69"/>
      <c r="C147" s="91" t="s">
        <v>187</v>
      </c>
      <c r="D147" s="70"/>
      <c r="L147" s="61"/>
      <c r="M147" s="62"/>
      <c r="N147" s="64"/>
      <c r="O147" s="68"/>
      <c r="P147" s="64"/>
      <c r="Q147" s="68"/>
      <c r="R147" s="64"/>
      <c r="S147" s="68">
        <v>19.0</v>
      </c>
      <c r="T147" s="64">
        <v>57.0</v>
      </c>
      <c r="U147" s="68">
        <v>32.0</v>
      </c>
      <c r="V147" s="64">
        <v>24.0</v>
      </c>
      <c r="W147" s="68">
        <f>SUM(S147:V147)</f>
        <v>132</v>
      </c>
      <c r="X147" s="64"/>
      <c r="Y147" s="65"/>
    </row>
    <row r="148" ht="14.25" customHeight="1">
      <c r="B148" s="69"/>
      <c r="C148" s="91" t="s">
        <v>164</v>
      </c>
      <c r="D148" s="70"/>
      <c r="L148" s="61"/>
      <c r="M148" s="62"/>
      <c r="N148" s="64"/>
      <c r="O148" s="68"/>
      <c r="P148" s="64"/>
      <c r="Q148" s="68"/>
      <c r="R148" s="64"/>
      <c r="S148" s="68" t="s">
        <v>368</v>
      </c>
      <c r="T148" s="234" t="s">
        <v>368</v>
      </c>
      <c r="U148" s="68" t="s">
        <v>368</v>
      </c>
      <c r="V148" s="64" t="s">
        <v>368</v>
      </c>
      <c r="W148" s="68" t="s">
        <v>368</v>
      </c>
      <c r="X148" s="64"/>
      <c r="Y148" s="65"/>
    </row>
    <row r="149" ht="14.25" customHeight="1">
      <c r="B149" s="69"/>
      <c r="C149" s="91" t="s">
        <v>165</v>
      </c>
      <c r="D149" s="70"/>
      <c r="L149" s="61"/>
      <c r="M149" s="62"/>
      <c r="N149" s="64"/>
      <c r="O149" s="68"/>
      <c r="P149" s="64"/>
      <c r="Q149" s="68"/>
      <c r="R149" s="64"/>
      <c r="S149" s="68" t="s">
        <v>368</v>
      </c>
      <c r="T149" s="234" t="s">
        <v>368</v>
      </c>
      <c r="U149" s="68" t="s">
        <v>368</v>
      </c>
      <c r="V149" s="64" t="s">
        <v>368</v>
      </c>
      <c r="W149" s="68" t="s">
        <v>368</v>
      </c>
      <c r="X149" s="64"/>
      <c r="Y149" s="65"/>
    </row>
    <row r="150" ht="14.25" customHeight="1">
      <c r="B150" s="69"/>
      <c r="C150" s="91" t="s">
        <v>166</v>
      </c>
      <c r="D150" s="70"/>
      <c r="L150" s="61"/>
      <c r="M150" s="62"/>
      <c r="N150" s="64"/>
      <c r="O150" s="68"/>
      <c r="P150" s="64"/>
      <c r="Q150" s="68"/>
      <c r="R150" s="64"/>
      <c r="S150" s="68" t="s">
        <v>368</v>
      </c>
      <c r="T150" s="234" t="s">
        <v>368</v>
      </c>
      <c r="U150" s="68" t="s">
        <v>368</v>
      </c>
      <c r="V150" s="64" t="s">
        <v>368</v>
      </c>
      <c r="W150" s="68" t="s">
        <v>368</v>
      </c>
      <c r="X150" s="64"/>
      <c r="Y150" s="65"/>
    </row>
    <row r="151" ht="14.25" customHeight="1">
      <c r="B151" s="69"/>
      <c r="C151" s="91" t="s">
        <v>188</v>
      </c>
      <c r="D151" s="70"/>
      <c r="L151" s="61"/>
      <c r="M151" s="62"/>
      <c r="N151" s="64"/>
      <c r="O151" s="68"/>
      <c r="P151" s="64"/>
      <c r="Q151" s="68"/>
      <c r="R151" s="64"/>
      <c r="S151" s="68" t="s">
        <v>368</v>
      </c>
      <c r="T151" s="234" t="s">
        <v>368</v>
      </c>
      <c r="U151" s="68" t="s">
        <v>368</v>
      </c>
      <c r="V151" s="64" t="s">
        <v>368</v>
      </c>
      <c r="W151" s="68" t="s">
        <v>368</v>
      </c>
      <c r="X151" s="64"/>
      <c r="Y151" s="65"/>
    </row>
    <row r="152" ht="14.25" customHeight="1">
      <c r="B152" s="69"/>
      <c r="C152" s="70"/>
      <c r="D152" s="70"/>
      <c r="E152" s="77"/>
      <c r="L152" s="61"/>
      <c r="M152" s="62"/>
      <c r="N152" s="63"/>
      <c r="O152" s="62"/>
      <c r="P152" s="63"/>
      <c r="Q152" s="62"/>
      <c r="R152" s="63"/>
      <c r="S152" s="68"/>
      <c r="T152" s="64"/>
      <c r="U152" s="68"/>
      <c r="V152" s="64"/>
      <c r="W152" s="68"/>
      <c r="X152" s="64"/>
      <c r="Y152" s="65"/>
    </row>
    <row r="153" ht="14.25" customHeight="1">
      <c r="B153" s="148" t="s">
        <v>199</v>
      </c>
      <c r="C153" s="183"/>
      <c r="D153" s="70"/>
      <c r="E153" s="70"/>
      <c r="L153" s="61"/>
      <c r="M153" s="62"/>
      <c r="N153" s="63"/>
      <c r="O153" s="62"/>
      <c r="P153" s="63"/>
      <c r="Q153" s="62"/>
      <c r="R153" s="63"/>
      <c r="S153" s="68"/>
      <c r="T153" s="64"/>
      <c r="U153" s="68"/>
      <c r="V153" s="64"/>
      <c r="W153" s="68"/>
      <c r="X153" s="64"/>
      <c r="Y153" s="65"/>
    </row>
    <row r="154" ht="14.25" customHeight="1">
      <c r="B154" s="150" t="s">
        <v>200</v>
      </c>
      <c r="C154" s="179"/>
      <c r="D154" s="179"/>
      <c r="E154" s="179"/>
      <c r="F154" s="67"/>
      <c r="L154" s="61"/>
      <c r="M154" s="62"/>
      <c r="N154" s="63"/>
      <c r="O154" s="62"/>
      <c r="P154" s="63"/>
      <c r="Q154" s="62"/>
      <c r="R154" s="63"/>
      <c r="S154" s="68"/>
      <c r="T154" s="64"/>
      <c r="U154" s="68"/>
      <c r="V154" s="64"/>
      <c r="W154" s="68"/>
      <c r="X154" s="64"/>
      <c r="Y154" s="65"/>
    </row>
    <row r="155" ht="14.25" customHeight="1">
      <c r="B155" s="148" t="s">
        <v>28</v>
      </c>
      <c r="C155" s="70"/>
      <c r="D155" s="70"/>
      <c r="L155" s="61"/>
      <c r="M155" s="62"/>
      <c r="N155" s="63"/>
      <c r="O155" s="62"/>
      <c r="P155" s="63"/>
      <c r="Q155" s="62"/>
      <c r="R155" s="63"/>
      <c r="S155" s="68"/>
      <c r="T155" s="64"/>
      <c r="U155" s="68"/>
      <c r="V155" s="64"/>
      <c r="W155" s="68"/>
      <c r="X155" s="64"/>
      <c r="Y155" s="65"/>
    </row>
    <row r="156" ht="14.25" customHeight="1">
      <c r="B156" s="69">
        <v>3.1</v>
      </c>
      <c r="C156" s="70" t="s">
        <v>201</v>
      </c>
      <c r="D156" s="70"/>
      <c r="L156" s="61"/>
      <c r="M156" s="62"/>
      <c r="N156" s="114">
        <v>0.8</v>
      </c>
      <c r="O156" s="115">
        <v>0.8</v>
      </c>
      <c r="P156" s="114">
        <v>0.8</v>
      </c>
      <c r="Q156" s="115">
        <v>0.8</v>
      </c>
      <c r="R156" s="114">
        <v>0.8</v>
      </c>
      <c r="S156" s="115">
        <v>1.0</v>
      </c>
      <c r="T156" s="114">
        <v>1.0</v>
      </c>
      <c r="U156" s="115">
        <v>1.0</v>
      </c>
      <c r="V156" s="114">
        <v>1.0</v>
      </c>
      <c r="W156" s="115">
        <f>IFERROR(__xludf.DUMMYFUNCTION("+V156"),1.0)</f>
        <v>1</v>
      </c>
      <c r="X156" s="114">
        <f>IFERROR(__xludf.DUMMYFUNCTION("+W156-R156"),0.19999999999999996)</f>
        <v>0.2</v>
      </c>
      <c r="Y156" s="65"/>
    </row>
    <row r="157" ht="14.25" customHeight="1">
      <c r="B157" s="148" t="s">
        <v>49</v>
      </c>
      <c r="C157" s="70"/>
      <c r="D157" s="197"/>
      <c r="L157" s="61"/>
      <c r="M157" s="62"/>
      <c r="N157" s="63"/>
      <c r="O157" s="62"/>
      <c r="P157" s="63"/>
      <c r="Q157" s="62"/>
      <c r="R157" s="63"/>
      <c r="S157" s="68"/>
      <c r="T157" s="64"/>
      <c r="U157" s="68"/>
      <c r="V157" s="114"/>
      <c r="W157" s="68"/>
      <c r="X157" s="64"/>
      <c r="Y157" s="65"/>
    </row>
    <row r="158" ht="14.25" customHeight="1">
      <c r="B158" s="69">
        <v>3.1</v>
      </c>
      <c r="C158" s="70" t="s">
        <v>202</v>
      </c>
      <c r="D158" s="70"/>
      <c r="E158" s="70"/>
      <c r="L158" s="61"/>
      <c r="M158" s="62"/>
      <c r="N158" s="64"/>
      <c r="O158" s="68"/>
      <c r="P158" s="64"/>
      <c r="Q158" s="68"/>
      <c r="R158" s="139">
        <v>96.0</v>
      </c>
      <c r="S158" s="140"/>
      <c r="T158" s="139"/>
      <c r="U158" s="140">
        <v>56.0</v>
      </c>
      <c r="V158" s="139">
        <v>94.0</v>
      </c>
      <c r="W158" s="140">
        <f>IFERROR(__xludf.DUMMYFUNCTION("+U158+V158"),150.0)</f>
        <v>150</v>
      </c>
      <c r="X158" s="139">
        <f>IFERROR(__xludf.DUMMYFUNCTION("+W158-R158"),54.0)</f>
        <v>54</v>
      </c>
      <c r="Y158" s="95" t="s">
        <v>813</v>
      </c>
      <c r="Z158" s="206"/>
    </row>
    <row r="159" ht="14.25" customHeight="1">
      <c r="B159" s="69">
        <v>3.2</v>
      </c>
      <c r="C159" s="70" t="s">
        <v>203</v>
      </c>
      <c r="D159" s="70"/>
      <c r="E159" s="70"/>
      <c r="L159" s="61"/>
      <c r="M159" s="62"/>
      <c r="N159" s="64">
        <v>5.0</v>
      </c>
      <c r="O159" s="68">
        <v>5.0</v>
      </c>
      <c r="P159" s="64">
        <v>5.0</v>
      </c>
      <c r="Q159" s="68">
        <v>5.0</v>
      </c>
      <c r="R159" s="64">
        <v>5.0</v>
      </c>
      <c r="S159" s="68">
        <v>4.0</v>
      </c>
      <c r="T159" s="64">
        <v>4.0</v>
      </c>
      <c r="U159" s="68">
        <v>4.0</v>
      </c>
      <c r="V159" s="64">
        <v>4.0</v>
      </c>
      <c r="W159" s="68">
        <f>IFERROR(__xludf.DUMMYFUNCTION("+V159"),4.0)</f>
        <v>4</v>
      </c>
      <c r="X159" s="64">
        <f>IFERROR(__xludf.DUMMYFUNCTION("+W159-R159"),-1.0)</f>
        <v>-1</v>
      </c>
      <c r="Y159" s="89"/>
      <c r="Z159" s="206"/>
    </row>
    <row r="160" ht="14.25" customHeight="1">
      <c r="B160" s="69">
        <v>3.3</v>
      </c>
      <c r="C160" s="77" t="s">
        <v>205</v>
      </c>
      <c r="D160" s="197"/>
      <c r="L160" s="61"/>
      <c r="M160" s="62"/>
      <c r="N160" s="139"/>
      <c r="O160" s="140"/>
      <c r="P160" s="139"/>
      <c r="Q160" s="140">
        <v>50000.0</v>
      </c>
      <c r="R160" s="139">
        <v>50000.0</v>
      </c>
      <c r="S160" s="140"/>
      <c r="T160" s="139">
        <v>38867.0</v>
      </c>
      <c r="U160" s="140">
        <v>55262.0</v>
      </c>
      <c r="V160" s="139">
        <v>1063.0</v>
      </c>
      <c r="W160" s="140">
        <f>IFERROR(__xludf.DUMMYFUNCTION("+U160+V160"),56325.0)</f>
        <v>56325</v>
      </c>
      <c r="X160" s="139">
        <f>IFERROR(__xludf.DUMMYFUNCTION("+W160-R160"),6325.0)</f>
        <v>6325</v>
      </c>
      <c r="Y160" s="95" t="s">
        <v>814</v>
      </c>
      <c r="Z160" s="206"/>
    </row>
    <row r="161" ht="14.25" customHeight="1">
      <c r="B161" s="69">
        <v>3.4</v>
      </c>
      <c r="C161" s="91" t="s">
        <v>206</v>
      </c>
      <c r="D161" s="144"/>
      <c r="E161" s="143"/>
      <c r="L161" s="61"/>
      <c r="M161" s="62"/>
      <c r="N161" s="64" t="s">
        <v>131</v>
      </c>
      <c r="O161" s="68" t="s">
        <v>131</v>
      </c>
      <c r="P161" s="64" t="s">
        <v>131</v>
      </c>
      <c r="Q161" s="68" t="s">
        <v>131</v>
      </c>
      <c r="R161" s="64" t="s">
        <v>131</v>
      </c>
      <c r="S161" s="68">
        <v>18.0</v>
      </c>
      <c r="T161" s="64">
        <v>4.0</v>
      </c>
      <c r="U161" s="68">
        <v>4.0</v>
      </c>
      <c r="V161" s="64">
        <v>2.0</v>
      </c>
      <c r="W161" s="68">
        <f>SUM(S161:V161)</f>
        <v>28</v>
      </c>
      <c r="X161" s="64"/>
      <c r="Y161" s="89"/>
      <c r="Z161" s="206"/>
    </row>
    <row r="162" ht="14.25" customHeight="1">
      <c r="B162" s="69">
        <v>3.5</v>
      </c>
      <c r="C162" s="70" t="s">
        <v>208</v>
      </c>
      <c r="D162" s="70"/>
      <c r="L162" s="61"/>
      <c r="M162" s="62"/>
      <c r="N162" s="83" t="s">
        <v>131</v>
      </c>
      <c r="O162" s="68" t="s">
        <v>131</v>
      </c>
      <c r="P162" s="64" t="s">
        <v>131</v>
      </c>
      <c r="Q162" s="68" t="s">
        <v>131</v>
      </c>
      <c r="R162" s="64" t="s">
        <v>131</v>
      </c>
      <c r="S162" s="119">
        <v>35178.0</v>
      </c>
      <c r="T162" s="64">
        <v>14597.0</v>
      </c>
      <c r="U162" s="68">
        <v>9823.0</v>
      </c>
      <c r="V162" s="64">
        <v>9683.0</v>
      </c>
      <c r="W162" s="119">
        <f>IFERROR(__xludf.DUMMYFUNCTION("+SUM(S162:V162)"),69281.0)</f>
        <v>69281</v>
      </c>
      <c r="X162" s="64"/>
      <c r="Y162" s="89"/>
      <c r="Z162" s="206"/>
    </row>
    <row r="163" ht="14.25" customHeight="1">
      <c r="B163" s="69">
        <v>3.6</v>
      </c>
      <c r="C163" s="70" t="s">
        <v>210</v>
      </c>
      <c r="D163" s="70"/>
      <c r="L163" s="61"/>
      <c r="M163" s="62"/>
      <c r="N163" s="83" t="s">
        <v>131</v>
      </c>
      <c r="O163" s="68" t="s">
        <v>131</v>
      </c>
      <c r="P163" s="64" t="s">
        <v>131</v>
      </c>
      <c r="Q163" s="68" t="s">
        <v>131</v>
      </c>
      <c r="R163" s="64" t="s">
        <v>131</v>
      </c>
      <c r="S163" s="68"/>
      <c r="T163" s="64"/>
      <c r="U163" s="68"/>
      <c r="V163" s="64"/>
      <c r="W163" s="68"/>
      <c r="X163" s="64"/>
      <c r="Y163" s="89"/>
      <c r="Z163" s="206"/>
    </row>
    <row r="164" ht="14.25" customHeight="1">
      <c r="B164" s="69"/>
      <c r="C164" s="70" t="s">
        <v>212</v>
      </c>
      <c r="D164" s="70"/>
      <c r="L164" s="61"/>
      <c r="M164" s="62"/>
      <c r="N164" s="64"/>
      <c r="O164" s="68"/>
      <c r="P164" s="64"/>
      <c r="Q164" s="68"/>
      <c r="R164" s="64"/>
      <c r="S164" s="68"/>
      <c r="T164" s="64">
        <v>133.0</v>
      </c>
      <c r="U164" s="68">
        <v>934.0</v>
      </c>
      <c r="V164" s="64">
        <v>4495.0</v>
      </c>
      <c r="W164" s="68">
        <f>IFERROR(__xludf.DUMMYFUNCTION("+V164"),4495.0)</f>
        <v>4495</v>
      </c>
      <c r="X164" s="64"/>
      <c r="Y164" s="89"/>
      <c r="Z164" s="206"/>
    </row>
    <row r="165" ht="14.25" customHeight="1">
      <c r="B165" s="69"/>
      <c r="C165" s="91" t="s">
        <v>213</v>
      </c>
      <c r="D165" s="183"/>
      <c r="E165" s="70"/>
      <c r="L165" s="61"/>
      <c r="M165" s="62"/>
      <c r="N165" s="63"/>
      <c r="O165" s="62"/>
      <c r="P165" s="63"/>
      <c r="Q165" s="62"/>
      <c r="R165" s="63"/>
      <c r="S165" s="68"/>
      <c r="T165" s="64"/>
      <c r="U165" s="68">
        <v>1789.0</v>
      </c>
      <c r="V165" s="64">
        <v>5713.0</v>
      </c>
      <c r="W165" s="68">
        <f>IFERROR(__xludf.DUMMYFUNCTION("+V165"),5713.0)</f>
        <v>5713</v>
      </c>
      <c r="X165" s="64"/>
      <c r="Y165" s="65"/>
    </row>
    <row r="166" ht="14.25" customHeight="1">
      <c r="B166" s="69"/>
      <c r="C166" s="70" t="s">
        <v>214</v>
      </c>
      <c r="D166" s="168"/>
      <c r="L166" s="61"/>
      <c r="M166" s="62"/>
      <c r="N166" s="63"/>
      <c r="O166" s="62"/>
      <c r="P166" s="63"/>
      <c r="Q166" s="62"/>
      <c r="R166" s="63"/>
      <c r="S166" s="68"/>
      <c r="T166" s="64"/>
      <c r="U166" s="68"/>
      <c r="V166" s="64"/>
      <c r="W166" s="68"/>
      <c r="X166" s="64"/>
      <c r="Y166" s="65"/>
    </row>
    <row r="167" ht="14.25" customHeight="1">
      <c r="B167" s="69"/>
      <c r="C167" s="70"/>
      <c r="D167" s="77"/>
      <c r="E167" s="77"/>
      <c r="L167" s="61"/>
      <c r="M167" s="62"/>
      <c r="N167" s="63"/>
      <c r="O167" s="62"/>
      <c r="P167" s="63"/>
      <c r="Q167" s="62"/>
      <c r="R167" s="63"/>
      <c r="S167" s="68"/>
      <c r="T167" s="64"/>
      <c r="U167" s="68"/>
      <c r="V167" s="64"/>
      <c r="W167" s="68"/>
      <c r="X167" s="64"/>
      <c r="Y167" s="65"/>
    </row>
    <row r="168" ht="14.25" customHeight="1">
      <c r="B168" s="148" t="s">
        <v>215</v>
      </c>
      <c r="C168" s="70"/>
      <c r="D168" s="70"/>
      <c r="E168" s="70"/>
      <c r="L168" s="61"/>
      <c r="M168" s="62"/>
      <c r="N168" s="63"/>
      <c r="O168" s="62"/>
      <c r="P168" s="63"/>
      <c r="Q168" s="62"/>
      <c r="R168" s="63"/>
      <c r="S168" s="68"/>
      <c r="T168" s="64"/>
      <c r="U168" s="68"/>
      <c r="V168" s="64"/>
      <c r="W168" s="68"/>
      <c r="X168" s="64"/>
      <c r="Y168" s="65"/>
    </row>
    <row r="169" ht="14.25" customHeight="1">
      <c r="B169" s="148" t="s">
        <v>216</v>
      </c>
      <c r="C169" s="70"/>
      <c r="D169" s="70"/>
      <c r="E169" s="70"/>
      <c r="L169" s="61"/>
      <c r="M169" s="62"/>
      <c r="N169" s="63"/>
      <c r="O169" s="62"/>
      <c r="P169" s="63"/>
      <c r="Q169" s="62"/>
      <c r="R169" s="63"/>
      <c r="S169" s="68"/>
      <c r="T169" s="64"/>
      <c r="U169" s="68"/>
      <c r="V169" s="64"/>
      <c r="W169" s="68"/>
      <c r="X169" s="64"/>
      <c r="Y169" s="65"/>
    </row>
    <row r="170" ht="14.25" customHeight="1">
      <c r="B170" s="148" t="s">
        <v>28</v>
      </c>
      <c r="C170" s="70"/>
      <c r="D170" s="70"/>
      <c r="E170" s="70"/>
      <c r="L170" s="61"/>
      <c r="M170" s="62"/>
      <c r="N170" s="63"/>
      <c r="O170" s="62"/>
      <c r="P170" s="63"/>
      <c r="Q170" s="62"/>
      <c r="R170" s="63"/>
      <c r="S170" s="68"/>
      <c r="T170" s="64"/>
      <c r="U170" s="68"/>
      <c r="V170" s="64"/>
      <c r="W170" s="68"/>
      <c r="X170" s="64"/>
      <c r="Y170" s="65"/>
    </row>
    <row r="171" ht="14.25" customHeight="1">
      <c r="B171" s="69">
        <v>4.1</v>
      </c>
      <c r="C171" s="91" t="s">
        <v>217</v>
      </c>
      <c r="D171" s="70"/>
      <c r="E171" s="70"/>
      <c r="L171" s="61"/>
      <c r="M171" s="62"/>
      <c r="N171" s="63"/>
      <c r="O171" s="62"/>
      <c r="P171" s="63"/>
      <c r="Q171" s="62"/>
      <c r="R171" s="63"/>
      <c r="S171" s="68"/>
      <c r="T171" s="64"/>
      <c r="U171" s="68"/>
      <c r="V171" s="64"/>
      <c r="W171" s="68"/>
      <c r="X171" s="64"/>
      <c r="Y171" s="65"/>
    </row>
    <row r="172" ht="14.25" customHeight="1">
      <c r="B172" s="69"/>
      <c r="C172" s="91" t="s">
        <v>218</v>
      </c>
      <c r="D172" s="70"/>
      <c r="E172" s="70"/>
      <c r="L172" s="61"/>
      <c r="M172" s="62"/>
      <c r="N172" s="114"/>
      <c r="O172" s="115"/>
      <c r="P172" s="114"/>
      <c r="Q172" s="115"/>
      <c r="R172" s="114">
        <v>0.2</v>
      </c>
      <c r="S172" s="145">
        <v>0.22580645161290322</v>
      </c>
      <c r="T172" s="92">
        <v>0.23636363636363636</v>
      </c>
      <c r="U172" s="145">
        <v>0.25</v>
      </c>
      <c r="V172" s="92">
        <v>0.25333333333333335</v>
      </c>
      <c r="W172" s="145">
        <f>IFERROR(__xludf.DUMMYFUNCTION("+V172"),0.25333333333333335)</f>
        <v>0.2533333333</v>
      </c>
      <c r="X172" s="92">
        <f>IFERROR(__xludf.DUMMYFUNCTION("+W172-R172"),0.053333333333333344)</f>
        <v>0.05333333333</v>
      </c>
      <c r="Y172" s="65"/>
    </row>
    <row r="173" ht="14.25" customHeight="1">
      <c r="B173" s="69"/>
      <c r="C173" s="91" t="s">
        <v>219</v>
      </c>
      <c r="D173" s="70"/>
      <c r="E173" s="70"/>
      <c r="L173" s="61"/>
      <c r="M173" s="62"/>
      <c r="N173" s="114"/>
      <c r="O173" s="115"/>
      <c r="P173" s="114"/>
      <c r="Q173" s="115"/>
      <c r="R173" s="114"/>
      <c r="S173" s="145"/>
      <c r="T173" s="92"/>
      <c r="U173" s="68"/>
      <c r="V173" s="92"/>
      <c r="W173" s="145"/>
      <c r="X173" s="92"/>
      <c r="Y173" s="65"/>
    </row>
    <row r="174" ht="14.25" customHeight="1">
      <c r="B174" s="69"/>
      <c r="C174" s="91" t="s">
        <v>220</v>
      </c>
      <c r="D174" s="77"/>
      <c r="E174" s="70"/>
      <c r="L174" s="61"/>
      <c r="M174" s="62"/>
      <c r="N174" s="114"/>
      <c r="O174" s="115"/>
      <c r="P174" s="114"/>
      <c r="Q174" s="115"/>
      <c r="R174" s="114">
        <v>0.2</v>
      </c>
      <c r="S174" s="145">
        <v>0.0</v>
      </c>
      <c r="T174" s="92">
        <v>0.1388888888888889</v>
      </c>
      <c r="U174" s="145">
        <v>0.16216216216216217</v>
      </c>
      <c r="V174" s="92">
        <v>0.2619047619047619</v>
      </c>
      <c r="W174" s="145">
        <f>IFERROR(__xludf.DUMMYFUNCTION("+V174"),0.2619047619047619)</f>
        <v>0.2619047619</v>
      </c>
      <c r="X174" s="92">
        <f>IFERROR(__xludf.DUMMYFUNCTION("+W174-R174"),0.06190476190476191)</f>
        <v>0.0619047619</v>
      </c>
      <c r="Y174" s="65"/>
    </row>
    <row r="175" ht="14.25" customHeight="1">
      <c r="B175" s="69"/>
      <c r="C175" s="70" t="s">
        <v>221</v>
      </c>
      <c r="D175" s="144"/>
      <c r="E175" s="144"/>
      <c r="L175" s="61"/>
      <c r="M175" s="62"/>
      <c r="N175" s="114"/>
      <c r="O175" s="115"/>
      <c r="P175" s="114"/>
      <c r="Q175" s="115"/>
      <c r="R175" s="114"/>
      <c r="S175" s="145"/>
      <c r="T175" s="92"/>
      <c r="U175" s="68"/>
      <c r="V175" s="92"/>
      <c r="W175" s="145"/>
      <c r="X175" s="92"/>
      <c r="Y175" s="65"/>
    </row>
    <row r="176" ht="14.25" customHeight="1">
      <c r="B176" s="69"/>
      <c r="C176" s="91" t="s">
        <v>222</v>
      </c>
      <c r="D176" s="144"/>
      <c r="E176" s="144"/>
      <c r="L176" s="61"/>
      <c r="M176" s="62"/>
      <c r="N176" s="114"/>
      <c r="O176" s="115"/>
      <c r="P176" s="114"/>
      <c r="Q176" s="115"/>
      <c r="R176" s="114"/>
      <c r="S176" s="145"/>
      <c r="T176" s="92"/>
      <c r="U176" s="68"/>
      <c r="V176" s="92"/>
      <c r="W176" s="145"/>
      <c r="X176" s="92"/>
      <c r="Y176" s="65"/>
    </row>
    <row r="177" ht="14.25" customHeight="1">
      <c r="B177" s="69"/>
      <c r="C177" s="91" t="s">
        <v>223</v>
      </c>
      <c r="D177" s="70"/>
      <c r="L177" s="61"/>
      <c r="M177" s="62"/>
      <c r="N177" s="114"/>
      <c r="O177" s="115"/>
      <c r="P177" s="114"/>
      <c r="Q177" s="115"/>
      <c r="R177" s="114">
        <v>0.2</v>
      </c>
      <c r="S177" s="145">
        <v>0.0967741935483871</v>
      </c>
      <c r="T177" s="92">
        <v>0.2</v>
      </c>
      <c r="U177" s="145">
        <v>0.25333333333333335</v>
      </c>
      <c r="V177" s="92">
        <v>0.27741935483870966</v>
      </c>
      <c r="W177" s="145">
        <f>IFERROR(__xludf.DUMMYFUNCTION("+V177"),0.27741935483870966)</f>
        <v>0.2774193548</v>
      </c>
      <c r="X177" s="92">
        <f>IFERROR(__xludf.DUMMYFUNCTION("+W177-R177"),0.07741935483870965)</f>
        <v>0.07741935484</v>
      </c>
      <c r="Y177" s="99" t="s">
        <v>815</v>
      </c>
    </row>
    <row r="178" ht="14.25" customHeight="1">
      <c r="B178" s="148" t="s">
        <v>49</v>
      </c>
      <c r="C178" s="70"/>
      <c r="D178" s="77"/>
      <c r="E178" s="70"/>
      <c r="L178" s="61"/>
      <c r="M178" s="62"/>
      <c r="N178" s="114"/>
      <c r="O178" s="115"/>
      <c r="P178" s="114"/>
      <c r="Q178" s="115"/>
      <c r="R178" s="114"/>
      <c r="S178" s="68"/>
      <c r="T178" s="64"/>
      <c r="U178" s="68"/>
      <c r="V178" s="64"/>
      <c r="W178" s="68"/>
      <c r="X178" s="64"/>
      <c r="Y178" s="65"/>
    </row>
    <row r="179" ht="14.25" customHeight="1">
      <c r="B179" s="69">
        <v>4.1</v>
      </c>
      <c r="C179" s="91" t="s">
        <v>224</v>
      </c>
      <c r="D179" s="70"/>
      <c r="E179" s="70"/>
      <c r="L179" s="61"/>
      <c r="M179" s="62"/>
      <c r="N179" s="114"/>
      <c r="O179" s="115"/>
      <c r="P179" s="114"/>
      <c r="Q179" s="115"/>
      <c r="R179" s="114"/>
      <c r="S179" s="68"/>
      <c r="T179" s="64"/>
      <c r="U179" s="68"/>
      <c r="V179" s="64"/>
      <c r="W179" s="68"/>
      <c r="X179" s="64"/>
      <c r="Y179" s="65"/>
    </row>
    <row r="180" ht="14.25" customHeight="1">
      <c r="B180" s="69"/>
      <c r="C180" s="91" t="s">
        <v>225</v>
      </c>
      <c r="D180" s="70"/>
      <c r="E180" s="70"/>
      <c r="L180" s="61"/>
      <c r="M180" s="62"/>
      <c r="N180" s="64">
        <v>1.0</v>
      </c>
      <c r="O180" s="68">
        <v>2.0</v>
      </c>
      <c r="P180" s="64">
        <v>3.0</v>
      </c>
      <c r="Q180" s="68">
        <v>3.0</v>
      </c>
      <c r="R180" s="64">
        <v>9.0</v>
      </c>
      <c r="S180" s="68">
        <v>1.0</v>
      </c>
      <c r="T180" s="64">
        <v>3.0</v>
      </c>
      <c r="U180" s="68">
        <v>4.0</v>
      </c>
      <c r="V180" s="64">
        <v>1.0</v>
      </c>
      <c r="W180" s="68">
        <f t="shared" ref="W180:W181" si="2">SUM(S180:V180)</f>
        <v>9</v>
      </c>
      <c r="X180" s="64">
        <f>IFERROR(__xludf.DUMMYFUNCTION("+W180-R180"),0.0)</f>
        <v>0</v>
      </c>
      <c r="Y180" s="65"/>
    </row>
    <row r="181" ht="14.25" customHeight="1">
      <c r="B181" s="69"/>
      <c r="C181" s="91" t="s">
        <v>226</v>
      </c>
      <c r="D181" s="70"/>
      <c r="E181" s="70"/>
      <c r="L181" s="61"/>
      <c r="M181" s="62"/>
      <c r="N181" s="64">
        <v>1.0</v>
      </c>
      <c r="O181" s="68"/>
      <c r="P181" s="64">
        <v>1.0</v>
      </c>
      <c r="Q181" s="68">
        <v>1.0</v>
      </c>
      <c r="R181" s="64">
        <v>3.0</v>
      </c>
      <c r="S181" s="68"/>
      <c r="T181" s="64">
        <v>4.0</v>
      </c>
      <c r="U181" s="68">
        <v>1.0</v>
      </c>
      <c r="V181" s="64">
        <v>2.0</v>
      </c>
      <c r="W181" s="68">
        <f t="shared" si="2"/>
        <v>7</v>
      </c>
      <c r="X181" s="64">
        <f>IFERROR(__xludf.DUMMYFUNCTION("+W181-R181"),4.0)</f>
        <v>4</v>
      </c>
      <c r="Y181" s="65"/>
    </row>
    <row r="182" ht="14.25" customHeight="1">
      <c r="B182" s="69"/>
      <c r="C182" s="91" t="s">
        <v>227</v>
      </c>
      <c r="D182" s="70"/>
      <c r="E182" s="70"/>
      <c r="L182" s="61"/>
      <c r="M182" s="62"/>
      <c r="N182" s="64"/>
      <c r="O182" s="68"/>
      <c r="P182" s="64"/>
      <c r="Q182" s="68"/>
      <c r="R182" s="64"/>
      <c r="S182" s="68"/>
      <c r="T182" s="64"/>
      <c r="U182" s="68"/>
      <c r="V182" s="64"/>
      <c r="W182" s="68"/>
      <c r="X182" s="64"/>
      <c r="Y182" s="65"/>
    </row>
    <row r="183" ht="14.25" customHeight="1">
      <c r="B183" s="69"/>
      <c r="C183" s="91" t="s">
        <v>228</v>
      </c>
      <c r="D183" s="70"/>
      <c r="E183" s="70"/>
      <c r="L183" s="61"/>
      <c r="M183" s="62"/>
      <c r="N183" s="64"/>
      <c r="O183" s="68"/>
      <c r="P183" s="64"/>
      <c r="Q183" s="68"/>
      <c r="R183" s="64"/>
      <c r="S183" s="68"/>
      <c r="T183" s="64"/>
      <c r="U183" s="68"/>
      <c r="V183" s="64"/>
      <c r="W183" s="68"/>
      <c r="X183" s="64"/>
      <c r="Y183" s="65"/>
    </row>
    <row r="184" ht="14.25" customHeight="1">
      <c r="B184" s="69"/>
      <c r="C184" s="91" t="s">
        <v>229</v>
      </c>
      <c r="D184" s="70"/>
      <c r="E184" s="70"/>
      <c r="L184" s="61"/>
      <c r="M184" s="62"/>
      <c r="N184" s="64"/>
      <c r="O184" s="68"/>
      <c r="P184" s="64"/>
      <c r="Q184" s="68"/>
      <c r="R184" s="64"/>
      <c r="S184" s="68"/>
      <c r="T184" s="64"/>
      <c r="U184" s="68"/>
      <c r="V184" s="64"/>
      <c r="W184" s="68"/>
      <c r="X184" s="64"/>
      <c r="Y184" s="65"/>
    </row>
    <row r="185" ht="14.25" customHeight="1">
      <c r="B185" s="69"/>
      <c r="C185" s="91" t="s">
        <v>230</v>
      </c>
      <c r="D185" s="70"/>
      <c r="E185" s="70"/>
      <c r="L185" s="61"/>
      <c r="M185" s="62"/>
      <c r="N185" s="64"/>
      <c r="O185" s="68"/>
      <c r="P185" s="64">
        <v>1.0</v>
      </c>
      <c r="Q185" s="68">
        <v>1.0</v>
      </c>
      <c r="R185" s="64">
        <v>2.0</v>
      </c>
      <c r="S185" s="68"/>
      <c r="T185" s="64"/>
      <c r="U185" s="68"/>
      <c r="V185" s="64">
        <v>2.0</v>
      </c>
      <c r="W185" s="68">
        <f>IFERROR(__xludf.DUMMYFUNCTION("+V185"),2.0)</f>
        <v>2</v>
      </c>
      <c r="X185" s="64">
        <f>IFERROR(__xludf.DUMMYFUNCTION("+W185-R185"),0.0)</f>
        <v>0</v>
      </c>
      <c r="Y185" s="65"/>
    </row>
    <row r="186" ht="14.25" customHeight="1">
      <c r="B186" s="69"/>
      <c r="C186" s="91" t="s">
        <v>231</v>
      </c>
      <c r="D186" s="70"/>
      <c r="E186" s="70"/>
      <c r="L186" s="61"/>
      <c r="M186" s="62"/>
      <c r="N186" s="64">
        <v>1.0</v>
      </c>
      <c r="O186" s="68">
        <v>2.0</v>
      </c>
      <c r="P186" s="64">
        <v>2.0</v>
      </c>
      <c r="Q186" s="68">
        <v>1.0</v>
      </c>
      <c r="R186" s="64">
        <v>6.0</v>
      </c>
      <c r="S186" s="68"/>
      <c r="T186" s="64"/>
      <c r="U186" s="68">
        <v>1.0</v>
      </c>
      <c r="V186" s="64">
        <v>3.0</v>
      </c>
      <c r="W186" s="68">
        <f>SUM(S186:V186)</f>
        <v>4</v>
      </c>
      <c r="X186" s="64">
        <f>IFERROR(__xludf.DUMMYFUNCTION("+W186-R186"),-2.0)</f>
        <v>-2</v>
      </c>
      <c r="Y186" s="65"/>
    </row>
    <row r="187" ht="14.25" customHeight="1">
      <c r="B187" s="69"/>
      <c r="C187" s="91" t="s">
        <v>232</v>
      </c>
      <c r="D187" s="144"/>
      <c r="E187" s="144"/>
      <c r="L187" s="61"/>
      <c r="M187" s="62"/>
      <c r="N187" s="64"/>
      <c r="O187" s="68"/>
      <c r="P187" s="64"/>
      <c r="Q187" s="68"/>
      <c r="R187" s="208"/>
      <c r="S187" s="209"/>
      <c r="T187" s="64"/>
      <c r="U187" s="68"/>
      <c r="V187" s="64"/>
      <c r="W187" s="209"/>
      <c r="X187" s="64"/>
      <c r="Y187" s="65"/>
    </row>
    <row r="188" ht="14.25" customHeight="1">
      <c r="B188" s="69"/>
      <c r="C188" s="91" t="s">
        <v>233</v>
      </c>
      <c r="D188" s="70"/>
      <c r="L188" s="61"/>
      <c r="M188" s="62"/>
      <c r="N188" s="64"/>
      <c r="O188" s="68"/>
      <c r="P188" s="64"/>
      <c r="Q188" s="68"/>
      <c r="R188" s="208"/>
      <c r="S188" s="209"/>
      <c r="T188" s="64"/>
      <c r="U188" s="68"/>
      <c r="V188" s="64"/>
      <c r="W188" s="209"/>
      <c r="X188" s="64"/>
      <c r="Y188" s="65"/>
    </row>
    <row r="189" ht="14.25" customHeight="1">
      <c r="B189" s="69"/>
      <c r="C189" s="91" t="s">
        <v>234</v>
      </c>
      <c r="D189" s="70"/>
      <c r="E189" s="70"/>
      <c r="L189" s="61"/>
      <c r="M189" s="62"/>
      <c r="N189" s="64"/>
      <c r="O189" s="68"/>
      <c r="P189" s="64"/>
      <c r="Q189" s="68"/>
      <c r="R189" s="208"/>
      <c r="S189" s="209"/>
      <c r="T189" s="64"/>
      <c r="U189" s="68"/>
      <c r="V189" s="64"/>
      <c r="W189" s="209"/>
      <c r="X189" s="64"/>
      <c r="Y189" s="65"/>
    </row>
    <row r="190" ht="14.25" customHeight="1">
      <c r="B190" s="69"/>
      <c r="C190" s="91" t="s">
        <v>236</v>
      </c>
      <c r="D190" s="70"/>
      <c r="E190" s="70"/>
      <c r="L190" s="61"/>
      <c r="M190" s="62"/>
      <c r="N190" s="64"/>
      <c r="O190" s="209"/>
      <c r="P190" s="64">
        <v>1.0</v>
      </c>
      <c r="Q190" s="68">
        <v>1.0</v>
      </c>
      <c r="R190" s="64">
        <v>2.0</v>
      </c>
      <c r="S190" s="209"/>
      <c r="T190" s="64"/>
      <c r="U190" s="68"/>
      <c r="V190" s="64"/>
      <c r="W190" s="209"/>
      <c r="X190" s="208">
        <f>IFERROR(__xludf.DUMMYFUNCTION("+W190-R190"),-2.0)</f>
        <v>-2</v>
      </c>
      <c r="Y190" s="65"/>
    </row>
    <row r="191" ht="14.25" customHeight="1">
      <c r="B191" s="69"/>
      <c r="C191" s="91" t="s">
        <v>237</v>
      </c>
      <c r="D191" s="70"/>
      <c r="E191" s="70"/>
      <c r="L191" s="61"/>
      <c r="M191" s="62"/>
      <c r="N191" s="64"/>
      <c r="O191" s="68"/>
      <c r="P191" s="64"/>
      <c r="Q191" s="68"/>
      <c r="R191" s="208"/>
      <c r="S191" s="209"/>
      <c r="T191" s="64"/>
      <c r="U191" s="68"/>
      <c r="V191" s="64"/>
      <c r="W191" s="209"/>
      <c r="X191" s="64"/>
      <c r="Y191" s="65"/>
    </row>
    <row r="192" ht="14.25" customHeight="1">
      <c r="B192" s="69"/>
      <c r="C192" s="91" t="s">
        <v>238</v>
      </c>
      <c r="D192" s="70"/>
      <c r="E192" s="70"/>
      <c r="L192" s="61"/>
      <c r="M192" s="62"/>
      <c r="N192" s="64"/>
      <c r="O192" s="68"/>
      <c r="P192" s="64"/>
      <c r="Q192" s="68"/>
      <c r="R192" s="208"/>
      <c r="S192" s="209"/>
      <c r="T192" s="64"/>
      <c r="U192" s="68"/>
      <c r="V192" s="64"/>
      <c r="W192" s="209"/>
      <c r="X192" s="64"/>
      <c r="Y192" s="65"/>
    </row>
    <row r="193" ht="14.25" customHeight="1">
      <c r="B193" s="69"/>
      <c r="C193" s="91" t="s">
        <v>239</v>
      </c>
      <c r="D193" s="70"/>
      <c r="E193" s="70"/>
      <c r="L193" s="61"/>
      <c r="M193" s="62"/>
      <c r="N193" s="64"/>
      <c r="O193" s="68"/>
      <c r="P193" s="64"/>
      <c r="Q193" s="68"/>
      <c r="R193" s="208"/>
      <c r="S193" s="209"/>
      <c r="T193" s="64"/>
      <c r="U193" s="68"/>
      <c r="V193" s="64"/>
      <c r="W193" s="209"/>
      <c r="X193" s="64"/>
      <c r="Y193" s="65"/>
    </row>
    <row r="194" ht="14.25" customHeight="1">
      <c r="B194" s="69"/>
      <c r="C194" s="91" t="s">
        <v>240</v>
      </c>
      <c r="D194" s="70"/>
      <c r="E194" s="70"/>
      <c r="L194" s="61"/>
      <c r="M194" s="62"/>
      <c r="N194" s="64"/>
      <c r="O194" s="68"/>
      <c r="P194" s="64"/>
      <c r="Q194" s="68"/>
      <c r="R194" s="208"/>
      <c r="S194" s="209"/>
      <c r="T194" s="64"/>
      <c r="U194" s="68"/>
      <c r="V194" s="64"/>
      <c r="W194" s="209"/>
      <c r="X194" s="64"/>
      <c r="Y194" s="65"/>
    </row>
    <row r="195" ht="14.25" customHeight="1">
      <c r="B195" s="69">
        <v>4.2</v>
      </c>
      <c r="C195" s="91" t="s">
        <v>241</v>
      </c>
      <c r="D195" s="70"/>
      <c r="E195" s="70"/>
      <c r="L195" s="61"/>
      <c r="M195" s="62"/>
      <c r="N195" s="64"/>
      <c r="O195" s="68"/>
      <c r="P195" s="64"/>
      <c r="Q195" s="68"/>
      <c r="R195" s="64"/>
      <c r="S195" s="68"/>
      <c r="T195" s="64"/>
      <c r="U195" s="68"/>
      <c r="V195" s="64"/>
      <c r="W195" s="68"/>
      <c r="X195" s="64"/>
      <c r="Y195" s="65"/>
    </row>
    <row r="196" ht="14.25" customHeight="1">
      <c r="B196" s="69"/>
      <c r="C196" s="91" t="s">
        <v>242</v>
      </c>
      <c r="D196" s="70"/>
      <c r="E196" s="70"/>
      <c r="L196" s="61"/>
      <c r="M196" s="62"/>
      <c r="N196" s="64"/>
      <c r="O196" s="68">
        <v>1.0</v>
      </c>
      <c r="P196" s="64">
        <v>1.0</v>
      </c>
      <c r="Q196" s="68">
        <v>1.0</v>
      </c>
      <c r="R196" s="64">
        <v>3.0</v>
      </c>
      <c r="S196" s="68">
        <v>1.0</v>
      </c>
      <c r="T196" s="64"/>
      <c r="U196" s="68">
        <v>1.0</v>
      </c>
      <c r="V196" s="64">
        <v>0.0</v>
      </c>
      <c r="W196" s="68">
        <f>IFERROR(__xludf.DUMMYFUNCTION("+SUM(S196:V196)"),2.0)</f>
        <v>2</v>
      </c>
      <c r="X196" s="64">
        <f>IFERROR(__xludf.DUMMYFUNCTION("+W196-R196"),-1.0)</f>
        <v>-1</v>
      </c>
      <c r="Y196" s="65"/>
    </row>
    <row r="197" ht="14.25" customHeight="1">
      <c r="B197" s="69"/>
      <c r="C197" s="91" t="s">
        <v>243</v>
      </c>
      <c r="D197" s="70"/>
      <c r="E197" s="70"/>
      <c r="L197" s="61"/>
      <c r="M197" s="62"/>
      <c r="N197" s="64">
        <v>14.0</v>
      </c>
      <c r="O197" s="68">
        <v>13.0</v>
      </c>
      <c r="P197" s="64">
        <v>13.0</v>
      </c>
      <c r="Q197" s="68">
        <v>13.0</v>
      </c>
      <c r="R197" s="64">
        <v>53.0</v>
      </c>
      <c r="S197" s="68">
        <v>54.0</v>
      </c>
      <c r="T197" s="64">
        <v>233.0</v>
      </c>
      <c r="U197" s="68">
        <v>355.0</v>
      </c>
      <c r="V197" s="64">
        <v>627.0</v>
      </c>
      <c r="W197" s="68">
        <f>IFERROR(__xludf.DUMMYFUNCTION("+SUM(S197:V197)"),1269.0)</f>
        <v>1269</v>
      </c>
      <c r="X197" s="64">
        <f>IFERROR(__xludf.DUMMYFUNCTION("+W197-R197"),1216.0)</f>
        <v>1216</v>
      </c>
      <c r="Y197" s="65"/>
    </row>
    <row r="198" ht="14.25" customHeight="1">
      <c r="B198" s="69">
        <v>4.3</v>
      </c>
      <c r="C198" s="91" t="s">
        <v>244</v>
      </c>
      <c r="D198" s="144"/>
      <c r="E198" s="144"/>
      <c r="L198" s="61"/>
      <c r="M198" s="62"/>
      <c r="N198" s="83"/>
      <c r="O198" s="209"/>
      <c r="P198" s="208"/>
      <c r="Q198" s="209"/>
      <c r="R198" s="208"/>
      <c r="S198" s="209"/>
      <c r="T198" s="64"/>
      <c r="U198" s="68"/>
      <c r="V198" s="64"/>
      <c r="W198" s="209"/>
      <c r="X198" s="64"/>
      <c r="Y198" s="65"/>
    </row>
    <row r="199" ht="14.25" customHeight="1">
      <c r="B199" s="69"/>
      <c r="C199" s="91" t="s">
        <v>245</v>
      </c>
      <c r="D199" s="70"/>
      <c r="L199" s="61"/>
      <c r="M199" s="62"/>
      <c r="N199" s="83">
        <v>1.0</v>
      </c>
      <c r="O199" s="119">
        <v>2.0</v>
      </c>
      <c r="P199" s="83">
        <v>1.0</v>
      </c>
      <c r="Q199" s="119">
        <v>1.0</v>
      </c>
      <c r="R199" s="83">
        <v>5.0</v>
      </c>
      <c r="S199" s="119">
        <v>3.0</v>
      </c>
      <c r="T199" s="64">
        <v>1.0</v>
      </c>
      <c r="U199" s="68">
        <v>3.0</v>
      </c>
      <c r="V199" s="64">
        <v>1.0</v>
      </c>
      <c r="W199" s="119">
        <f t="shared" ref="W199:W201" si="3">SUM(S199:V199)</f>
        <v>8</v>
      </c>
      <c r="X199" s="83">
        <f>IFERROR(__xludf.DUMMYFUNCTION("+W199-R199"),3.0)</f>
        <v>3</v>
      </c>
      <c r="Y199" s="65"/>
    </row>
    <row r="200" ht="14.25" customHeight="1">
      <c r="B200" s="69"/>
      <c r="C200" s="91" t="s">
        <v>247</v>
      </c>
      <c r="D200" s="70"/>
      <c r="E200" s="70"/>
      <c r="L200" s="61"/>
      <c r="M200" s="62"/>
      <c r="N200" s="83">
        <v>3.0</v>
      </c>
      <c r="O200" s="119">
        <v>4.0</v>
      </c>
      <c r="P200" s="83">
        <v>4.0</v>
      </c>
      <c r="Q200" s="119">
        <v>4.0</v>
      </c>
      <c r="R200" s="83">
        <v>15.0</v>
      </c>
      <c r="S200" s="119">
        <v>4.0</v>
      </c>
      <c r="T200" s="64">
        <v>15.0</v>
      </c>
      <c r="U200" s="68">
        <v>7.0</v>
      </c>
      <c r="V200" s="64">
        <v>4.0</v>
      </c>
      <c r="W200" s="119">
        <f t="shared" si="3"/>
        <v>30</v>
      </c>
      <c r="X200" s="83">
        <f>IFERROR(__xludf.DUMMYFUNCTION("+W200-R200"),15.0)</f>
        <v>15</v>
      </c>
      <c r="Y200" s="65"/>
    </row>
    <row r="201" ht="14.25" customHeight="1">
      <c r="B201" s="69"/>
      <c r="C201" s="91" t="s">
        <v>248</v>
      </c>
      <c r="D201" s="70"/>
      <c r="E201" s="70"/>
      <c r="L201" s="61"/>
      <c r="M201" s="62"/>
      <c r="N201" s="83">
        <v>50.0</v>
      </c>
      <c r="O201" s="119">
        <v>50.0</v>
      </c>
      <c r="P201" s="83">
        <v>50.0</v>
      </c>
      <c r="Q201" s="119">
        <v>50.0</v>
      </c>
      <c r="R201" s="83">
        <v>200.0</v>
      </c>
      <c r="S201" s="119">
        <v>60.0</v>
      </c>
      <c r="T201" s="64">
        <v>34.0</v>
      </c>
      <c r="U201" s="68">
        <v>63.0</v>
      </c>
      <c r="V201" s="64">
        <v>168.0</v>
      </c>
      <c r="W201" s="119">
        <f t="shared" si="3"/>
        <v>325</v>
      </c>
      <c r="X201" s="83">
        <f>IFERROR(__xludf.DUMMYFUNCTION("+W201-R201"),125.0)</f>
        <v>125</v>
      </c>
      <c r="Y201" s="65"/>
    </row>
    <row r="202" ht="14.25" customHeight="1">
      <c r="B202" s="69">
        <v>4.4</v>
      </c>
      <c r="C202" s="91" t="s">
        <v>249</v>
      </c>
      <c r="D202" s="70"/>
      <c r="E202" s="70"/>
      <c r="L202" s="61"/>
      <c r="M202" s="62"/>
      <c r="N202" s="114">
        <v>0.8</v>
      </c>
      <c r="O202" s="115">
        <v>0.8</v>
      </c>
      <c r="P202" s="114">
        <v>0.8</v>
      </c>
      <c r="Q202" s="115">
        <v>0.8</v>
      </c>
      <c r="R202" s="114">
        <v>0.8</v>
      </c>
      <c r="S202" s="115">
        <v>1.0</v>
      </c>
      <c r="T202" s="114">
        <v>1.0</v>
      </c>
      <c r="U202" s="115">
        <v>1.0</v>
      </c>
      <c r="V202" s="64">
        <v>1.0</v>
      </c>
      <c r="W202" s="115">
        <v>1.0</v>
      </c>
      <c r="X202" s="83">
        <f>IFERROR(__xludf.DUMMYFUNCTION("+W202-R202"),0.19999999999999996)</f>
        <v>0.2</v>
      </c>
      <c r="Y202" s="65"/>
    </row>
    <row r="203" ht="14.25" customHeight="1">
      <c r="B203" s="69">
        <v>4.5</v>
      </c>
      <c r="C203" s="91" t="s">
        <v>250</v>
      </c>
      <c r="D203" s="70"/>
      <c r="E203" s="70"/>
      <c r="L203" s="61"/>
      <c r="M203" s="62"/>
      <c r="N203" s="114" t="s">
        <v>131</v>
      </c>
      <c r="O203" s="115" t="s">
        <v>131</v>
      </c>
      <c r="P203" s="114" t="s">
        <v>131</v>
      </c>
      <c r="Q203" s="115" t="s">
        <v>131</v>
      </c>
      <c r="R203" s="114" t="s">
        <v>131</v>
      </c>
      <c r="S203" s="115"/>
      <c r="T203" s="64"/>
      <c r="U203" s="68"/>
      <c r="V203" s="64"/>
      <c r="W203" s="115"/>
      <c r="X203" s="64"/>
      <c r="Y203" s="99" t="s">
        <v>816</v>
      </c>
    </row>
    <row r="204" ht="14.25" customHeight="1">
      <c r="B204" s="148"/>
      <c r="C204" s="144"/>
      <c r="D204" s="70"/>
      <c r="E204" s="70"/>
      <c r="L204" s="61"/>
      <c r="M204" s="62"/>
      <c r="N204" s="63"/>
      <c r="O204" s="62"/>
      <c r="P204" s="63"/>
      <c r="Q204" s="62"/>
      <c r="R204" s="63"/>
      <c r="S204" s="68"/>
      <c r="T204" s="64"/>
      <c r="U204" s="68"/>
      <c r="V204" s="64"/>
      <c r="W204" s="68"/>
      <c r="X204" s="64"/>
      <c r="Y204" s="65"/>
    </row>
    <row r="205" ht="14.25" customHeight="1">
      <c r="B205" s="148" t="s">
        <v>252</v>
      </c>
      <c r="C205" s="144"/>
      <c r="D205" s="70"/>
      <c r="E205" s="70"/>
      <c r="L205" s="61"/>
      <c r="M205" s="62"/>
      <c r="N205" s="63"/>
      <c r="O205" s="62"/>
      <c r="P205" s="63"/>
      <c r="Q205" s="62"/>
      <c r="R205" s="63"/>
      <c r="S205" s="68"/>
      <c r="T205" s="64"/>
      <c r="U205" s="68"/>
      <c r="V205" s="64"/>
      <c r="W205" s="68"/>
      <c r="X205" s="64"/>
      <c r="Y205" s="65"/>
    </row>
    <row r="206" ht="14.25" customHeight="1">
      <c r="B206" s="150" t="s">
        <v>253</v>
      </c>
      <c r="C206" s="179"/>
      <c r="D206" s="151"/>
      <c r="E206" s="151"/>
      <c r="F206" s="67"/>
      <c r="G206" s="67"/>
      <c r="H206" s="67"/>
      <c r="I206" s="67"/>
      <c r="J206" s="67"/>
      <c r="K206" s="67"/>
      <c r="L206" s="182"/>
      <c r="M206" s="62"/>
      <c r="N206" s="63"/>
      <c r="O206" s="62"/>
      <c r="P206" s="63"/>
      <c r="Q206" s="62"/>
      <c r="R206" s="63"/>
      <c r="S206" s="68"/>
      <c r="T206" s="64"/>
      <c r="U206" s="68"/>
      <c r="V206" s="64"/>
      <c r="W206" s="68"/>
      <c r="X206" s="64"/>
      <c r="Y206" s="65"/>
    </row>
    <row r="207" ht="14.25" customHeight="1">
      <c r="B207" s="148" t="s">
        <v>28</v>
      </c>
      <c r="C207" s="70"/>
      <c r="D207" s="70"/>
      <c r="E207" s="70"/>
      <c r="L207" s="61"/>
      <c r="M207" s="62"/>
      <c r="N207" s="63"/>
      <c r="O207" s="62"/>
      <c r="P207" s="63"/>
      <c r="Q207" s="62"/>
      <c r="R207" s="63"/>
      <c r="S207" s="68"/>
      <c r="T207" s="64"/>
      <c r="U207" s="68"/>
      <c r="V207" s="64"/>
      <c r="W207" s="68"/>
      <c r="X207" s="64"/>
      <c r="Y207" s="65"/>
    </row>
    <row r="208" ht="14.25" customHeight="1">
      <c r="B208" s="69">
        <v>5.1</v>
      </c>
      <c r="C208" s="91" t="s">
        <v>254</v>
      </c>
      <c r="D208" s="70"/>
      <c r="E208" s="70"/>
      <c r="L208" s="61"/>
      <c r="M208" s="62"/>
      <c r="N208" s="63"/>
      <c r="O208" s="62"/>
      <c r="P208" s="63"/>
      <c r="Q208" s="62"/>
      <c r="R208" s="210"/>
      <c r="S208" s="68"/>
      <c r="T208" s="64"/>
      <c r="U208" s="68"/>
      <c r="V208" s="64"/>
      <c r="W208" s="68"/>
      <c r="X208" s="64"/>
      <c r="Y208" s="65"/>
    </row>
    <row r="209" ht="14.25" customHeight="1">
      <c r="B209" s="69"/>
      <c r="C209" s="91" t="s">
        <v>255</v>
      </c>
      <c r="D209" s="70"/>
      <c r="E209" s="70"/>
      <c r="L209" s="61"/>
      <c r="M209" s="62"/>
      <c r="N209" s="63"/>
      <c r="O209" s="62"/>
      <c r="P209" s="63"/>
      <c r="Q209" s="62"/>
      <c r="R209" s="516" t="s">
        <v>817</v>
      </c>
      <c r="S209" s="68"/>
      <c r="T209" s="64"/>
      <c r="U209" s="68"/>
      <c r="V209" s="64"/>
      <c r="W209" s="68"/>
      <c r="X209" s="64"/>
      <c r="Y209" s="76" t="s">
        <v>818</v>
      </c>
    </row>
    <row r="210" ht="14.25" customHeight="1">
      <c r="B210" s="69"/>
      <c r="C210" s="91" t="s">
        <v>256</v>
      </c>
      <c r="D210" s="144"/>
      <c r="E210" s="144"/>
      <c r="L210" s="61"/>
      <c r="M210" s="62"/>
      <c r="N210" s="63"/>
      <c r="O210" s="62"/>
      <c r="P210" s="63"/>
      <c r="Q210" s="62"/>
      <c r="R210" s="40"/>
      <c r="S210" s="68"/>
      <c r="T210" s="64"/>
      <c r="U210" s="68"/>
      <c r="V210" s="64"/>
      <c r="W210" s="68"/>
      <c r="X210" s="64"/>
      <c r="Y210" s="40"/>
    </row>
    <row r="211" ht="14.25" customHeight="1">
      <c r="B211" s="69"/>
      <c r="C211" s="91" t="s">
        <v>257</v>
      </c>
      <c r="D211" s="70"/>
      <c r="L211" s="61"/>
      <c r="M211" s="62"/>
      <c r="N211" s="63"/>
      <c r="O211" s="62"/>
      <c r="P211" s="63"/>
      <c r="Q211" s="62"/>
      <c r="R211" s="40"/>
      <c r="S211" s="68"/>
      <c r="T211" s="64"/>
      <c r="U211" s="68"/>
      <c r="V211" s="64"/>
      <c r="W211" s="68"/>
      <c r="X211" s="64"/>
      <c r="Y211" s="40"/>
    </row>
    <row r="212" ht="14.25" customHeight="1">
      <c r="B212" s="69"/>
      <c r="C212" s="91" t="s">
        <v>258</v>
      </c>
      <c r="D212" s="70"/>
      <c r="E212" s="70"/>
      <c r="L212" s="61"/>
      <c r="M212" s="62"/>
      <c r="N212" s="63"/>
      <c r="O212" s="62"/>
      <c r="P212" s="63"/>
      <c r="Q212" s="62"/>
      <c r="R212" s="40"/>
      <c r="S212" s="68"/>
      <c r="T212" s="64"/>
      <c r="U212" s="68"/>
      <c r="V212" s="64"/>
      <c r="W212" s="68"/>
      <c r="X212" s="64"/>
      <c r="Y212" s="40"/>
    </row>
    <row r="213" ht="14.25" customHeight="1">
      <c r="B213" s="69"/>
      <c r="C213" s="91" t="s">
        <v>259</v>
      </c>
      <c r="D213" s="70"/>
      <c r="E213" s="70"/>
      <c r="L213" s="61"/>
      <c r="M213" s="62"/>
      <c r="N213" s="63"/>
      <c r="O213" s="62"/>
      <c r="P213" s="63"/>
      <c r="Q213" s="62"/>
      <c r="R213" s="40"/>
      <c r="S213" s="68"/>
      <c r="T213" s="64"/>
      <c r="U213" s="68"/>
      <c r="V213" s="64"/>
      <c r="W213" s="68"/>
      <c r="X213" s="64"/>
      <c r="Y213" s="40"/>
    </row>
    <row r="214" ht="14.25" customHeight="1">
      <c r="B214" s="69"/>
      <c r="C214" s="91" t="s">
        <v>260</v>
      </c>
      <c r="D214" s="70"/>
      <c r="E214" s="70"/>
      <c r="L214" s="61"/>
      <c r="M214" s="62"/>
      <c r="N214" s="63"/>
      <c r="O214" s="62"/>
      <c r="P214" s="63"/>
      <c r="Q214" s="62"/>
      <c r="R214" s="40"/>
      <c r="S214" s="68"/>
      <c r="T214" s="64"/>
      <c r="U214" s="68"/>
      <c r="V214" s="64"/>
      <c r="W214" s="68"/>
      <c r="X214" s="64"/>
      <c r="Y214" s="40"/>
    </row>
    <row r="215" ht="14.25" customHeight="1">
      <c r="B215" s="69"/>
      <c r="C215" s="91" t="s">
        <v>261</v>
      </c>
      <c r="D215" s="70"/>
      <c r="E215" s="70"/>
      <c r="L215" s="61"/>
      <c r="M215" s="62"/>
      <c r="N215" s="63"/>
      <c r="O215" s="62"/>
      <c r="P215" s="63"/>
      <c r="Q215" s="62"/>
      <c r="R215" s="40"/>
      <c r="S215" s="68"/>
      <c r="T215" s="64"/>
      <c r="U215" s="68"/>
      <c r="V215" s="64"/>
      <c r="W215" s="68"/>
      <c r="X215" s="64"/>
      <c r="Y215" s="40"/>
    </row>
    <row r="216" ht="14.25" customHeight="1">
      <c r="B216" s="69"/>
      <c r="C216" s="91" t="s">
        <v>262</v>
      </c>
      <c r="D216" s="70"/>
      <c r="E216" s="70"/>
      <c r="L216" s="61"/>
      <c r="M216" s="62"/>
      <c r="N216" s="63"/>
      <c r="O216" s="62"/>
      <c r="P216" s="63"/>
      <c r="Q216" s="62"/>
      <c r="R216" s="40"/>
      <c r="S216" s="68"/>
      <c r="T216" s="64"/>
      <c r="U216" s="68"/>
      <c r="V216" s="64"/>
      <c r="W216" s="68"/>
      <c r="X216" s="64"/>
      <c r="Y216" s="40"/>
    </row>
    <row r="217" ht="14.25" customHeight="1">
      <c r="B217" s="69"/>
      <c r="C217" s="91" t="s">
        <v>263</v>
      </c>
      <c r="D217" s="70"/>
      <c r="E217" s="70"/>
      <c r="L217" s="61"/>
      <c r="M217" s="62"/>
      <c r="N217" s="63"/>
      <c r="O217" s="62"/>
      <c r="P217" s="63"/>
      <c r="Q217" s="62"/>
      <c r="R217" s="40"/>
      <c r="S217" s="68"/>
      <c r="T217" s="64"/>
      <c r="U217" s="68"/>
      <c r="V217" s="64"/>
      <c r="W217" s="68"/>
      <c r="X217" s="64"/>
      <c r="Y217" s="40"/>
    </row>
    <row r="218" ht="14.25" customHeight="1">
      <c r="B218" s="69"/>
      <c r="C218" s="91" t="s">
        <v>264</v>
      </c>
      <c r="D218" s="70"/>
      <c r="E218" s="70"/>
      <c r="L218" s="61"/>
      <c r="M218" s="62"/>
      <c r="N218" s="63"/>
      <c r="O218" s="62"/>
      <c r="P218" s="63"/>
      <c r="Q218" s="62"/>
      <c r="R218" s="40"/>
      <c r="S218" s="68"/>
      <c r="T218" s="64"/>
      <c r="U218" s="68"/>
      <c r="V218" s="64"/>
      <c r="W218" s="68"/>
      <c r="X218" s="64"/>
      <c r="Y218" s="40"/>
    </row>
    <row r="219" ht="14.25" customHeight="1">
      <c r="B219" s="69"/>
      <c r="C219" s="91" t="s">
        <v>265</v>
      </c>
      <c r="D219" s="70"/>
      <c r="E219" s="70"/>
      <c r="L219" s="61"/>
      <c r="M219" s="62"/>
      <c r="N219" s="63"/>
      <c r="O219" s="62"/>
      <c r="P219" s="63"/>
      <c r="Q219" s="62"/>
      <c r="R219" s="40"/>
      <c r="S219" s="68"/>
      <c r="T219" s="64"/>
      <c r="U219" s="68"/>
      <c r="V219" s="64"/>
      <c r="W219" s="68"/>
      <c r="X219" s="64"/>
      <c r="Y219" s="40"/>
    </row>
    <row r="220" ht="14.25" customHeight="1">
      <c r="B220" s="69"/>
      <c r="C220" s="91" t="s">
        <v>266</v>
      </c>
      <c r="D220" s="70"/>
      <c r="E220" s="70"/>
      <c r="L220" s="61"/>
      <c r="M220" s="62"/>
      <c r="N220" s="63"/>
      <c r="O220" s="62"/>
      <c r="P220" s="63"/>
      <c r="Q220" s="62"/>
      <c r="R220" s="40"/>
      <c r="S220" s="68"/>
      <c r="T220" s="64"/>
      <c r="U220" s="68"/>
      <c r="V220" s="64"/>
      <c r="W220" s="68"/>
      <c r="X220" s="64"/>
      <c r="Y220" s="40"/>
    </row>
    <row r="221" ht="14.25" customHeight="1">
      <c r="B221" s="148" t="s">
        <v>49</v>
      </c>
      <c r="C221" s="70"/>
      <c r="D221" s="144"/>
      <c r="E221" s="144"/>
      <c r="L221" s="61"/>
      <c r="M221" s="62"/>
      <c r="N221" s="63"/>
      <c r="O221" s="62"/>
      <c r="P221" s="63"/>
      <c r="Q221" s="62"/>
      <c r="R221" s="42"/>
      <c r="S221" s="68"/>
      <c r="T221" s="64"/>
      <c r="U221" s="68"/>
      <c r="V221" s="64"/>
      <c r="W221" s="68"/>
      <c r="X221" s="64"/>
      <c r="Y221" s="90"/>
    </row>
    <row r="222" ht="14.25" customHeight="1">
      <c r="B222" s="69">
        <v>5.1</v>
      </c>
      <c r="C222" s="91" t="s">
        <v>279</v>
      </c>
      <c r="D222" s="70"/>
      <c r="L222" s="61"/>
      <c r="M222" s="62"/>
      <c r="N222" s="64">
        <v>3.0</v>
      </c>
      <c r="O222" s="68">
        <v>3.0</v>
      </c>
      <c r="P222" s="64">
        <v>3.0</v>
      </c>
      <c r="Q222" s="68">
        <v>3.0</v>
      </c>
      <c r="R222" s="215">
        <v>12.0</v>
      </c>
      <c r="S222" s="68">
        <v>5.0</v>
      </c>
      <c r="T222" s="64">
        <v>9.0</v>
      </c>
      <c r="U222" s="68">
        <v>10.0</v>
      </c>
      <c r="V222" s="64">
        <v>18.0</v>
      </c>
      <c r="W222" s="68">
        <f>SUM(S222:V222)</f>
        <v>42</v>
      </c>
      <c r="X222" s="64">
        <f>IFERROR(__xludf.DUMMYFUNCTION("+W222-R222"),30.0)</f>
        <v>30</v>
      </c>
      <c r="Y222" s="65"/>
    </row>
    <row r="223" ht="14.25" customHeight="1">
      <c r="B223" s="69">
        <v>5.2</v>
      </c>
      <c r="C223" s="91" t="s">
        <v>280</v>
      </c>
      <c r="D223" s="70"/>
      <c r="E223" s="70"/>
      <c r="L223" s="61"/>
      <c r="M223" s="62"/>
      <c r="N223" s="163" t="s">
        <v>819</v>
      </c>
      <c r="O223" s="216" t="s">
        <v>819</v>
      </c>
      <c r="P223" s="163" t="s">
        <v>819</v>
      </c>
      <c r="Q223" s="216" t="s">
        <v>819</v>
      </c>
      <c r="R223" s="163" t="s">
        <v>819</v>
      </c>
      <c r="S223" s="216" t="s">
        <v>819</v>
      </c>
      <c r="T223" s="101" t="s">
        <v>819</v>
      </c>
      <c r="U223" s="101" t="s">
        <v>819</v>
      </c>
      <c r="V223" s="101" t="s">
        <v>819</v>
      </c>
      <c r="W223" s="216" t="s">
        <v>819</v>
      </c>
      <c r="X223" s="101"/>
      <c r="Y223" s="238"/>
      <c r="Z223" s="217"/>
      <c r="AA223" s="217"/>
      <c r="AB223" s="217"/>
      <c r="AC223" s="217"/>
      <c r="AD223" s="217"/>
      <c r="AE223" s="217" t="s">
        <v>282</v>
      </c>
    </row>
    <row r="224" ht="14.25" customHeight="1">
      <c r="B224" s="69">
        <v>5.3</v>
      </c>
      <c r="C224" s="91" t="s">
        <v>283</v>
      </c>
      <c r="D224" s="70"/>
      <c r="E224" s="70"/>
      <c r="L224" s="61"/>
      <c r="M224" s="62"/>
      <c r="N224" s="163" t="s">
        <v>819</v>
      </c>
      <c r="O224" s="216" t="s">
        <v>819</v>
      </c>
      <c r="P224" s="163" t="s">
        <v>819</v>
      </c>
      <c r="Q224" s="216" t="s">
        <v>819</v>
      </c>
      <c r="R224" s="163" t="s">
        <v>819</v>
      </c>
      <c r="S224" s="216" t="s">
        <v>819</v>
      </c>
      <c r="T224" s="101" t="s">
        <v>819</v>
      </c>
      <c r="U224" s="101" t="s">
        <v>819</v>
      </c>
      <c r="V224" s="101" t="s">
        <v>819</v>
      </c>
      <c r="W224" s="216" t="s">
        <v>819</v>
      </c>
      <c r="X224" s="101"/>
      <c r="Y224" s="238"/>
      <c r="Z224" s="217"/>
      <c r="AA224" s="217"/>
      <c r="AB224" s="217"/>
      <c r="AC224" s="217"/>
      <c r="AD224" s="217"/>
      <c r="AE224" s="217" t="s">
        <v>282</v>
      </c>
    </row>
    <row r="225" ht="14.25" customHeight="1">
      <c r="B225" s="69">
        <v>5.4</v>
      </c>
      <c r="C225" s="91" t="s">
        <v>285</v>
      </c>
      <c r="D225" s="70"/>
      <c r="E225" s="70"/>
      <c r="L225" s="61"/>
      <c r="M225" s="62"/>
      <c r="N225" s="114">
        <v>1.0</v>
      </c>
      <c r="O225" s="115">
        <v>1.0</v>
      </c>
      <c r="P225" s="114">
        <v>1.0</v>
      </c>
      <c r="Q225" s="115">
        <v>1.0</v>
      </c>
      <c r="R225" s="114">
        <v>1.0</v>
      </c>
      <c r="S225" s="115"/>
      <c r="T225" s="64"/>
      <c r="U225" s="68"/>
      <c r="V225" s="64"/>
      <c r="W225" s="115"/>
      <c r="X225" s="64"/>
      <c r="Y225" s="505" t="s">
        <v>820</v>
      </c>
    </row>
    <row r="226" ht="14.25" customHeight="1">
      <c r="B226" s="69">
        <v>5.5</v>
      </c>
      <c r="C226" s="91" t="s">
        <v>287</v>
      </c>
      <c r="D226" s="70"/>
      <c r="E226" s="70"/>
      <c r="L226" s="61"/>
      <c r="M226" s="62"/>
      <c r="N226" s="114">
        <v>1.0</v>
      </c>
      <c r="O226" s="115">
        <v>1.0</v>
      </c>
      <c r="P226" s="114">
        <v>1.0</v>
      </c>
      <c r="Q226" s="115">
        <v>1.0</v>
      </c>
      <c r="R226" s="114">
        <v>1.0</v>
      </c>
      <c r="S226" s="115"/>
      <c r="T226" s="64"/>
      <c r="U226" s="68"/>
      <c r="V226" s="64"/>
      <c r="W226" s="115"/>
      <c r="X226" s="64"/>
      <c r="Y226" s="90"/>
    </row>
    <row r="227" ht="14.25" customHeight="1">
      <c r="B227" s="148"/>
      <c r="C227" s="144"/>
      <c r="D227" s="70"/>
      <c r="E227" s="70"/>
      <c r="L227" s="61"/>
      <c r="M227" s="62"/>
      <c r="N227" s="63"/>
      <c r="O227" s="62"/>
      <c r="P227" s="63"/>
      <c r="Q227" s="62"/>
      <c r="R227" s="63"/>
      <c r="S227" s="68"/>
      <c r="T227" s="64"/>
      <c r="U227" s="68"/>
      <c r="V227" s="64"/>
      <c r="W227" s="68"/>
      <c r="X227" s="64"/>
      <c r="Y227" s="65"/>
    </row>
    <row r="228" ht="14.25" customHeight="1">
      <c r="B228" s="148" t="s">
        <v>288</v>
      </c>
      <c r="C228" s="144"/>
      <c r="D228" s="70"/>
      <c r="E228" s="70"/>
      <c r="L228" s="61"/>
      <c r="M228" s="62"/>
      <c r="N228" s="63"/>
      <c r="O228" s="62"/>
      <c r="P228" s="63"/>
      <c r="Q228" s="62"/>
      <c r="R228" s="63"/>
      <c r="S228" s="68"/>
      <c r="T228" s="64"/>
      <c r="U228" s="68"/>
      <c r="V228" s="64"/>
      <c r="W228" s="68"/>
      <c r="X228" s="64"/>
      <c r="Y228" s="65"/>
    </row>
    <row r="229" ht="14.25" customHeight="1">
      <c r="B229" s="148"/>
      <c r="C229" s="144"/>
      <c r="D229" s="70"/>
      <c r="E229" s="70"/>
      <c r="L229" s="61"/>
      <c r="M229" s="62"/>
      <c r="N229" s="63"/>
      <c r="O229" s="62"/>
      <c r="P229" s="63"/>
      <c r="Q229" s="62"/>
      <c r="R229" s="63"/>
      <c r="S229" s="68"/>
      <c r="T229" s="64"/>
      <c r="U229" s="68"/>
      <c r="V229" s="64"/>
      <c r="W229" s="68"/>
      <c r="X229" s="64"/>
      <c r="Y229" s="65"/>
    </row>
    <row r="230" ht="14.25" customHeight="1">
      <c r="B230" s="148" t="s">
        <v>289</v>
      </c>
      <c r="C230" s="144"/>
      <c r="D230" s="70"/>
      <c r="E230" s="70"/>
      <c r="L230" s="61"/>
      <c r="M230" s="62"/>
      <c r="N230" s="63"/>
      <c r="O230" s="62"/>
      <c r="P230" s="63"/>
      <c r="Q230" s="62"/>
      <c r="R230" s="63"/>
      <c r="S230" s="68"/>
      <c r="T230" s="64"/>
      <c r="U230" s="68"/>
      <c r="V230" s="64"/>
      <c r="W230" s="68"/>
      <c r="X230" s="64"/>
      <c r="Y230" s="65"/>
    </row>
    <row r="231" ht="14.25" customHeight="1">
      <c r="B231" s="69">
        <v>6.1</v>
      </c>
      <c r="C231" s="91" t="s">
        <v>292</v>
      </c>
      <c r="D231" s="70"/>
      <c r="E231" s="70"/>
      <c r="L231" s="61"/>
      <c r="M231" s="62"/>
      <c r="N231" s="64" t="s">
        <v>131</v>
      </c>
      <c r="O231" s="68" t="s">
        <v>131</v>
      </c>
      <c r="P231" s="64" t="s">
        <v>131</v>
      </c>
      <c r="Q231" s="68" t="s">
        <v>131</v>
      </c>
      <c r="R231" s="64" t="s">
        <v>131</v>
      </c>
      <c r="S231" s="68"/>
      <c r="T231" s="64"/>
      <c r="U231" s="68"/>
      <c r="V231" s="64"/>
      <c r="W231" s="68"/>
      <c r="X231" s="64"/>
      <c r="Y231" s="65"/>
    </row>
    <row r="232" ht="14.25" customHeight="1">
      <c r="B232" s="69">
        <v>6.2</v>
      </c>
      <c r="C232" s="91" t="s">
        <v>293</v>
      </c>
      <c r="D232" s="144"/>
      <c r="E232" s="144"/>
      <c r="L232" s="61"/>
      <c r="M232" s="62"/>
      <c r="N232" s="64"/>
      <c r="O232" s="68"/>
      <c r="P232" s="64"/>
      <c r="Q232" s="68"/>
      <c r="R232" s="64"/>
      <c r="S232" s="68"/>
      <c r="T232" s="64"/>
      <c r="U232" s="68"/>
      <c r="V232" s="64"/>
      <c r="W232" s="68"/>
      <c r="X232" s="64"/>
      <c r="Y232" s="89"/>
    </row>
    <row r="233" ht="14.25" customHeight="1">
      <c r="B233" s="69"/>
      <c r="C233" s="91" t="s">
        <v>821</v>
      </c>
      <c r="D233" s="70"/>
      <c r="L233" s="61"/>
      <c r="M233" s="62"/>
      <c r="N233" s="64"/>
      <c r="O233" s="68"/>
      <c r="P233" s="64"/>
      <c r="Q233" s="68"/>
      <c r="R233" s="64">
        <v>1.0</v>
      </c>
      <c r="S233" s="68">
        <v>1.0</v>
      </c>
      <c r="T233" s="64"/>
      <c r="U233" s="68"/>
      <c r="V233" s="64"/>
      <c r="W233" s="68">
        <f t="shared" ref="W233:W234" si="4">SUM(S233:V233)</f>
        <v>1</v>
      </c>
      <c r="X233" s="64"/>
      <c r="Y233" s="65"/>
    </row>
    <row r="234" ht="14.25" customHeight="1">
      <c r="B234" s="69"/>
      <c r="C234" s="91" t="s">
        <v>295</v>
      </c>
      <c r="D234" s="70"/>
      <c r="E234" s="70"/>
      <c r="L234" s="61"/>
      <c r="M234" s="62"/>
      <c r="N234" s="64"/>
      <c r="O234" s="68"/>
      <c r="P234" s="64"/>
      <c r="Q234" s="68"/>
      <c r="R234" s="64">
        <v>1.0</v>
      </c>
      <c r="S234" s="68">
        <v>1.0</v>
      </c>
      <c r="T234" s="64">
        <v>2.0</v>
      </c>
      <c r="U234" s="68">
        <v>2.0</v>
      </c>
      <c r="V234" s="64">
        <v>5.0</v>
      </c>
      <c r="W234" s="68">
        <f t="shared" si="4"/>
        <v>10</v>
      </c>
      <c r="X234" s="64"/>
      <c r="Y234" s="65"/>
    </row>
    <row r="235" ht="14.25" customHeight="1">
      <c r="B235" s="69">
        <v>6.3</v>
      </c>
      <c r="C235" s="91" t="s">
        <v>297</v>
      </c>
      <c r="D235" s="70"/>
      <c r="E235" s="70"/>
      <c r="L235" s="61"/>
      <c r="M235" s="62"/>
      <c r="N235" s="64"/>
      <c r="O235" s="68"/>
      <c r="P235" s="64"/>
      <c r="Q235" s="68"/>
      <c r="R235" s="64"/>
      <c r="S235" s="68"/>
      <c r="T235" s="64"/>
      <c r="U235" s="68"/>
      <c r="V235" s="64"/>
      <c r="W235" s="68"/>
      <c r="X235" s="64"/>
      <c r="Y235" s="65"/>
    </row>
    <row r="236" ht="14.25" customHeight="1">
      <c r="B236" s="148" t="s">
        <v>301</v>
      </c>
      <c r="C236" s="144"/>
      <c r="D236" s="70"/>
      <c r="E236" s="70"/>
      <c r="L236" s="61"/>
      <c r="M236" s="62"/>
      <c r="N236" s="63"/>
      <c r="O236" s="62"/>
      <c r="P236" s="63"/>
      <c r="Q236" s="62"/>
      <c r="R236" s="63"/>
      <c r="S236" s="68"/>
      <c r="T236" s="64"/>
      <c r="U236" s="68"/>
      <c r="V236" s="64"/>
      <c r="W236" s="68"/>
      <c r="X236" s="64"/>
      <c r="Y236" s="65"/>
    </row>
    <row r="237" ht="14.25" customHeight="1">
      <c r="B237" s="96">
        <v>6.4</v>
      </c>
      <c r="C237" s="200" t="s">
        <v>321</v>
      </c>
      <c r="D237" s="70"/>
      <c r="E237" s="97"/>
      <c r="F237" s="105"/>
      <c r="G237" s="105"/>
      <c r="H237" s="105"/>
      <c r="I237" s="105"/>
      <c r="J237" s="105"/>
      <c r="K237" s="105"/>
      <c r="L237" s="107"/>
      <c r="M237" s="108"/>
      <c r="N237" s="78"/>
      <c r="O237" s="108"/>
      <c r="P237" s="78"/>
      <c r="Q237" s="108"/>
      <c r="R237" s="169">
        <v>0.07</v>
      </c>
      <c r="S237" s="140"/>
      <c r="T237" s="139"/>
      <c r="U237" s="203">
        <v>0.07</v>
      </c>
      <c r="V237" s="93">
        <v>0.42857142857142855</v>
      </c>
      <c r="W237" s="203">
        <f>IFERROR(__xludf.DUMMYFUNCTION("+V237"),0.42857142857142855)</f>
        <v>0.4285714286</v>
      </c>
      <c r="X237" s="139"/>
      <c r="Y237" s="99" t="s">
        <v>822</v>
      </c>
    </row>
    <row r="238" ht="14.25" customHeight="1">
      <c r="B238" s="69">
        <v>6.5</v>
      </c>
      <c r="C238" s="91" t="s">
        <v>322</v>
      </c>
      <c r="D238" s="70"/>
      <c r="E238" s="70"/>
      <c r="L238" s="61"/>
      <c r="M238" s="62"/>
      <c r="N238" s="64">
        <v>4.0</v>
      </c>
      <c r="O238" s="68">
        <v>4.0</v>
      </c>
      <c r="P238" s="64">
        <v>4.0</v>
      </c>
      <c r="Q238" s="68">
        <v>4.0</v>
      </c>
      <c r="R238" s="64">
        <v>16.0</v>
      </c>
      <c r="S238" s="68">
        <v>2.0</v>
      </c>
      <c r="T238" s="64">
        <v>1.0</v>
      </c>
      <c r="U238" s="68">
        <v>1.0</v>
      </c>
      <c r="V238" s="64">
        <v>1.0</v>
      </c>
      <c r="W238" s="68">
        <f>SUM(S238:V238)</f>
        <v>5</v>
      </c>
      <c r="X238" s="64">
        <f>IFERROR(__xludf.DUMMYFUNCTION("+W238-R238"),-11.0)</f>
        <v>-11</v>
      </c>
      <c r="Y238" s="65"/>
    </row>
    <row r="239" ht="14.25" customHeight="1">
      <c r="B239" s="148" t="s">
        <v>331</v>
      </c>
      <c r="C239" s="144"/>
      <c r="D239" s="70"/>
      <c r="E239" s="70"/>
      <c r="L239" s="61"/>
      <c r="M239" s="62"/>
      <c r="N239" s="63"/>
      <c r="O239" s="62"/>
      <c r="P239" s="63"/>
      <c r="Q239" s="62"/>
      <c r="R239" s="63"/>
      <c r="S239" s="68"/>
      <c r="T239" s="64"/>
      <c r="U239" s="68"/>
      <c r="V239" s="64"/>
      <c r="W239" s="68"/>
      <c r="X239" s="64"/>
      <c r="Y239" s="65"/>
    </row>
    <row r="240" ht="14.25" customHeight="1">
      <c r="B240" s="69">
        <v>6.6</v>
      </c>
      <c r="C240" s="91" t="s">
        <v>332</v>
      </c>
      <c r="D240" s="70"/>
      <c r="E240" s="70"/>
      <c r="L240" s="61"/>
      <c r="M240" s="62"/>
      <c r="N240" s="63"/>
      <c r="O240" s="62"/>
      <c r="P240" s="63"/>
      <c r="Q240" s="62"/>
      <c r="R240" s="235" t="s">
        <v>823</v>
      </c>
      <c r="S240" s="68"/>
      <c r="T240" s="101" t="s">
        <v>824</v>
      </c>
      <c r="U240" s="68"/>
      <c r="V240" s="64"/>
      <c r="W240" s="188" t="s">
        <v>824</v>
      </c>
      <c r="X240" s="64"/>
      <c r="Y240" s="99" t="s">
        <v>825</v>
      </c>
    </row>
    <row r="241" ht="14.25" customHeight="1">
      <c r="B241" s="69">
        <v>6.7</v>
      </c>
      <c r="C241" s="91" t="s">
        <v>337</v>
      </c>
      <c r="D241" s="70"/>
      <c r="E241" s="70"/>
      <c r="L241" s="61"/>
      <c r="M241" s="62"/>
      <c r="N241" s="63"/>
      <c r="O241" s="62"/>
      <c r="P241" s="63"/>
      <c r="Q241" s="62"/>
      <c r="R241" s="235" t="s">
        <v>826</v>
      </c>
      <c r="S241" s="68"/>
      <c r="T241" s="64"/>
      <c r="U241" s="68"/>
      <c r="V241" s="64"/>
      <c r="W241" s="68"/>
      <c r="X241" s="64"/>
      <c r="Y241" s="99" t="s">
        <v>827</v>
      </c>
    </row>
    <row r="242" ht="14.25" customHeight="1">
      <c r="B242" s="69">
        <v>6.8</v>
      </c>
      <c r="C242" s="91" t="s">
        <v>828</v>
      </c>
      <c r="D242" s="70"/>
      <c r="E242" s="70"/>
      <c r="L242" s="61"/>
      <c r="M242" s="62"/>
      <c r="N242" s="63"/>
      <c r="O242" s="62"/>
      <c r="P242" s="63"/>
      <c r="Q242" s="62"/>
      <c r="R242" s="535">
        <v>276666.0</v>
      </c>
      <c r="S242" s="68"/>
      <c r="T242" s="83">
        <v>274808.0</v>
      </c>
      <c r="U242" s="68"/>
      <c r="V242" s="64"/>
      <c r="W242" s="83">
        <v>274808.0</v>
      </c>
      <c r="X242" s="83">
        <f>IFERROR(__xludf.DUMMYFUNCTION("+W242-R242"),-1858.0)</f>
        <v>-1858</v>
      </c>
      <c r="Y242" s="89" t="s">
        <v>829</v>
      </c>
    </row>
    <row r="243" ht="14.25" customHeight="1">
      <c r="B243" s="148" t="s">
        <v>340</v>
      </c>
      <c r="C243" s="144"/>
      <c r="D243" s="70"/>
      <c r="E243" s="70"/>
      <c r="L243" s="61"/>
      <c r="M243" s="62"/>
      <c r="N243" s="63"/>
      <c r="O243" s="62"/>
      <c r="P243" s="63"/>
      <c r="Q243" s="62"/>
      <c r="R243" s="63"/>
      <c r="S243" s="68"/>
      <c r="T243" s="64"/>
      <c r="U243" s="68"/>
      <c r="V243" s="64"/>
      <c r="W243" s="68"/>
      <c r="X243" s="64"/>
      <c r="Y243" s="65"/>
    </row>
    <row r="244" ht="14.25" customHeight="1">
      <c r="B244" s="69">
        <v>6.9</v>
      </c>
      <c r="C244" s="91" t="s">
        <v>341</v>
      </c>
      <c r="D244" s="70"/>
      <c r="E244" s="70"/>
      <c r="L244" s="61"/>
      <c r="M244" s="62"/>
      <c r="N244" s="64">
        <v>779.0</v>
      </c>
      <c r="O244" s="68">
        <v>779.0</v>
      </c>
      <c r="P244" s="64">
        <v>779.0</v>
      </c>
      <c r="Q244" s="68">
        <v>779.0</v>
      </c>
      <c r="R244" s="64">
        <v>779.0</v>
      </c>
      <c r="S244" s="68">
        <v>779.0</v>
      </c>
      <c r="T244" s="64">
        <v>780.0</v>
      </c>
      <c r="U244" s="68">
        <v>780.0</v>
      </c>
      <c r="V244" s="64">
        <v>780.0</v>
      </c>
      <c r="W244" s="68">
        <f>IFERROR(__xludf.DUMMYFUNCTION("+U244"),780.0)</f>
        <v>780</v>
      </c>
      <c r="X244" s="64">
        <f>IFERROR(__xludf.DUMMYFUNCTION("+W244-R244"),1.0)</f>
        <v>1</v>
      </c>
      <c r="Y244" s="65"/>
    </row>
    <row r="245" ht="14.25" customHeight="1">
      <c r="B245" s="228">
        <v>6.1</v>
      </c>
      <c r="C245" s="185" t="s">
        <v>343</v>
      </c>
      <c r="D245" s="194"/>
      <c r="E245" s="183"/>
      <c r="L245" s="61"/>
      <c r="M245" s="62"/>
      <c r="N245" s="114">
        <v>0.9</v>
      </c>
      <c r="O245" s="115">
        <v>0.9</v>
      </c>
      <c r="P245" s="114">
        <v>0.9</v>
      </c>
      <c r="Q245" s="115">
        <v>0.9</v>
      </c>
      <c r="R245" s="114">
        <v>0.9</v>
      </c>
      <c r="S245" s="115">
        <v>0.08</v>
      </c>
      <c r="T245" s="114">
        <v>0.1</v>
      </c>
      <c r="U245" s="115">
        <v>0.6</v>
      </c>
      <c r="V245" s="114">
        <v>1.0</v>
      </c>
      <c r="W245" s="115">
        <f>IFERROR(__xludf.DUMMYFUNCTION("+U245"),0.6)</f>
        <v>0.6</v>
      </c>
      <c r="X245" s="114">
        <f>IFERROR(__xludf.DUMMYFUNCTION("+W245-R245"),-0.30000000000000004)</f>
        <v>-0.3</v>
      </c>
      <c r="Y245" s="99"/>
    </row>
    <row r="246" ht="14.25" customHeight="1">
      <c r="B246" s="69">
        <v>6.11</v>
      </c>
      <c r="C246" s="231" t="s">
        <v>345</v>
      </c>
      <c r="D246" s="154"/>
      <c r="L246" s="61"/>
      <c r="M246" s="62"/>
      <c r="N246" s="114">
        <v>1.0</v>
      </c>
      <c r="O246" s="115">
        <v>1.0</v>
      </c>
      <c r="P246" s="114">
        <v>1.0</v>
      </c>
      <c r="Q246" s="115">
        <v>1.0</v>
      </c>
      <c r="R246" s="169">
        <v>1.0</v>
      </c>
      <c r="S246" s="115">
        <v>1.0</v>
      </c>
      <c r="T246" s="114">
        <v>1.0</v>
      </c>
      <c r="U246" s="115">
        <v>1.0</v>
      </c>
      <c r="V246" s="114">
        <v>1.0</v>
      </c>
      <c r="W246" s="115">
        <f>IFERROR(__xludf.DUMMYFUNCTION("+U246"),1.0)</f>
        <v>1</v>
      </c>
      <c r="X246" s="114">
        <f>IFERROR(__xludf.DUMMYFUNCTION("+W246-R246"),0.0)</f>
        <v>0</v>
      </c>
      <c r="Y246" s="65"/>
    </row>
    <row r="247" ht="14.25" customHeight="1">
      <c r="B247" s="148" t="s">
        <v>348</v>
      </c>
      <c r="C247" s="183"/>
      <c r="D247" s="154"/>
      <c r="L247" s="61"/>
      <c r="M247" s="62"/>
      <c r="N247" s="63"/>
      <c r="O247" s="62"/>
      <c r="P247" s="63"/>
      <c r="Q247" s="62"/>
      <c r="R247" s="78"/>
      <c r="S247" s="68"/>
      <c r="T247" s="64"/>
      <c r="U247" s="68"/>
      <c r="V247" s="64"/>
      <c r="W247" s="68"/>
      <c r="X247" s="64"/>
      <c r="Y247" s="65"/>
    </row>
    <row r="248" ht="14.25" customHeight="1">
      <c r="B248" s="69">
        <v>6.12</v>
      </c>
      <c r="C248" s="231" t="s">
        <v>349</v>
      </c>
      <c r="D248" s="154"/>
      <c r="L248" s="61"/>
      <c r="M248" s="62"/>
      <c r="N248" s="114">
        <v>1.0</v>
      </c>
      <c r="O248" s="115">
        <v>1.0</v>
      </c>
      <c r="P248" s="114">
        <v>1.0</v>
      </c>
      <c r="Q248" s="115">
        <v>1.0</v>
      </c>
      <c r="R248" s="169">
        <v>1.0</v>
      </c>
      <c r="S248" s="68"/>
      <c r="T248" s="64"/>
      <c r="U248" s="68"/>
      <c r="V248" s="114">
        <v>1.0</v>
      </c>
      <c r="W248" s="115">
        <f>IFERROR(__xludf.DUMMYFUNCTION("+V248"),1.0)</f>
        <v>1</v>
      </c>
      <c r="X248" s="64"/>
      <c r="Y248" s="99" t="s">
        <v>830</v>
      </c>
    </row>
    <row r="249" ht="14.25" customHeight="1">
      <c r="B249" s="69">
        <v>6.13</v>
      </c>
      <c r="C249" s="231" t="s">
        <v>350</v>
      </c>
      <c r="D249" s="154"/>
      <c r="L249" s="61"/>
      <c r="M249" s="62"/>
      <c r="N249" s="114">
        <v>1.0</v>
      </c>
      <c r="O249" s="115">
        <v>1.0</v>
      </c>
      <c r="P249" s="114">
        <v>1.0</v>
      </c>
      <c r="Q249" s="115">
        <v>1.0</v>
      </c>
      <c r="R249" s="169">
        <v>1.0</v>
      </c>
      <c r="S249" s="115">
        <v>1.0</v>
      </c>
      <c r="T249" s="114">
        <v>1.0</v>
      </c>
      <c r="U249" s="115">
        <v>1.0</v>
      </c>
      <c r="V249" s="114">
        <v>1.0</v>
      </c>
      <c r="W249" s="115">
        <v>1.0</v>
      </c>
      <c r="X249" s="64"/>
      <c r="Y249" s="65"/>
    </row>
    <row r="250" ht="14.25" customHeight="1">
      <c r="B250" s="148" t="s">
        <v>351</v>
      </c>
      <c r="C250" s="183"/>
      <c r="D250" s="154"/>
      <c r="L250" s="61"/>
      <c r="M250" s="62"/>
      <c r="N250" s="63"/>
      <c r="O250" s="62"/>
      <c r="P250" s="63"/>
      <c r="Q250" s="62"/>
      <c r="R250" s="78"/>
      <c r="S250" s="68"/>
      <c r="T250" s="64"/>
      <c r="U250" s="68"/>
      <c r="V250" s="64"/>
      <c r="W250" s="68"/>
      <c r="X250" s="64"/>
      <c r="Y250" s="65"/>
    </row>
    <row r="251" ht="14.25" customHeight="1">
      <c r="B251" s="69">
        <v>6.14</v>
      </c>
      <c r="C251" s="231" t="s">
        <v>352</v>
      </c>
      <c r="D251" s="154"/>
      <c r="L251" s="61"/>
      <c r="M251" s="62"/>
      <c r="N251" s="63"/>
      <c r="O251" s="62"/>
      <c r="P251" s="63"/>
      <c r="Q251" s="62"/>
      <c r="R251" s="169">
        <v>0.5</v>
      </c>
      <c r="S251" s="115">
        <v>0.25</v>
      </c>
      <c r="T251" s="64"/>
      <c r="U251" s="68"/>
      <c r="V251" s="64"/>
      <c r="W251" s="115">
        <v>0.25</v>
      </c>
      <c r="X251" s="114">
        <v>-0.25</v>
      </c>
      <c r="Y251" s="65"/>
    </row>
    <row r="252" ht="14.25" customHeight="1">
      <c r="B252" s="69">
        <v>6.15</v>
      </c>
      <c r="C252" s="231" t="s">
        <v>353</v>
      </c>
      <c r="D252" s="77"/>
      <c r="E252" s="77"/>
      <c r="L252" s="61"/>
      <c r="M252" s="62"/>
      <c r="N252" s="63"/>
      <c r="O252" s="62"/>
      <c r="P252" s="63"/>
      <c r="Q252" s="62"/>
      <c r="R252" s="64"/>
      <c r="S252" s="68"/>
      <c r="T252" s="64"/>
      <c r="U252" s="68"/>
      <c r="V252" s="64"/>
      <c r="W252" s="68"/>
      <c r="X252" s="64"/>
      <c r="Y252" s="65"/>
    </row>
    <row r="253" ht="14.25" customHeight="1">
      <c r="B253" s="69"/>
      <c r="C253" s="231" t="s">
        <v>354</v>
      </c>
      <c r="D253" s="183"/>
      <c r="E253" s="183"/>
      <c r="L253" s="61"/>
      <c r="M253" s="62"/>
      <c r="N253" s="63"/>
      <c r="O253" s="62"/>
      <c r="P253" s="63"/>
      <c r="Q253" s="62"/>
      <c r="R253" s="64">
        <v>5.0</v>
      </c>
      <c r="S253" s="68">
        <v>0.0</v>
      </c>
      <c r="T253" s="64"/>
      <c r="U253" s="68">
        <v>3.0</v>
      </c>
      <c r="V253" s="64">
        <v>2.0</v>
      </c>
      <c r="W253" s="68">
        <f t="shared" ref="W253:W256" si="5">SUM(S253:V253)</f>
        <v>5</v>
      </c>
      <c r="X253" s="64">
        <f>IFERROR(__xludf.DUMMYFUNCTION("+W253-R253"),0.0)</f>
        <v>0</v>
      </c>
      <c r="Y253" s="65"/>
    </row>
    <row r="254" ht="14.25" customHeight="1">
      <c r="B254" s="69"/>
      <c r="C254" s="231" t="s">
        <v>355</v>
      </c>
      <c r="D254" s="154"/>
      <c r="L254" s="61"/>
      <c r="M254" s="62"/>
      <c r="N254" s="63"/>
      <c r="O254" s="62"/>
      <c r="P254" s="63"/>
      <c r="Q254" s="62"/>
      <c r="R254" s="64">
        <v>24.0</v>
      </c>
      <c r="S254" s="68">
        <v>5.0</v>
      </c>
      <c r="T254" s="64">
        <v>63.0</v>
      </c>
      <c r="U254" s="68">
        <v>6.0</v>
      </c>
      <c r="V254" s="64">
        <v>6.0</v>
      </c>
      <c r="W254" s="68">
        <f t="shared" si="5"/>
        <v>80</v>
      </c>
      <c r="X254" s="64">
        <f>IFERROR(__xludf.DUMMYFUNCTION("+W254-R254"),56.0)</f>
        <v>56</v>
      </c>
      <c r="Y254" s="65"/>
    </row>
    <row r="255" ht="14.25" customHeight="1">
      <c r="B255" s="69"/>
      <c r="C255" s="231" t="s">
        <v>356</v>
      </c>
      <c r="D255" s="70"/>
      <c r="L255" s="61"/>
      <c r="M255" s="62"/>
      <c r="N255" s="64"/>
      <c r="O255" s="62"/>
      <c r="P255" s="63"/>
      <c r="Q255" s="62"/>
      <c r="R255" s="64">
        <v>3.0</v>
      </c>
      <c r="S255" s="64">
        <v>0.0</v>
      </c>
      <c r="T255" s="64"/>
      <c r="U255" s="68">
        <v>0.0</v>
      </c>
      <c r="V255" s="64">
        <v>3.0</v>
      </c>
      <c r="W255" s="68">
        <f t="shared" si="5"/>
        <v>3</v>
      </c>
      <c r="X255" s="64">
        <f>IFERROR(__xludf.DUMMYFUNCTION("+W255-R255"),0.0)</f>
        <v>0</v>
      </c>
      <c r="Y255" s="65"/>
    </row>
    <row r="256" ht="14.25" customHeight="1">
      <c r="B256" s="69">
        <v>6.16</v>
      </c>
      <c r="C256" s="231" t="s">
        <v>357</v>
      </c>
      <c r="D256" s="70"/>
      <c r="L256" s="61"/>
      <c r="M256" s="62"/>
      <c r="N256" s="64"/>
      <c r="O256" s="62"/>
      <c r="P256" s="63"/>
      <c r="Q256" s="62"/>
      <c r="R256" s="64">
        <v>7.0</v>
      </c>
      <c r="S256" s="64">
        <v>0.0</v>
      </c>
      <c r="T256" s="64">
        <v>1.0</v>
      </c>
      <c r="U256" s="68">
        <v>4.0</v>
      </c>
      <c r="V256" s="64">
        <v>3.0</v>
      </c>
      <c r="W256" s="68">
        <f t="shared" si="5"/>
        <v>8</v>
      </c>
      <c r="X256" s="64">
        <f>IFERROR(__xludf.DUMMYFUNCTION("+W256-R256"),1.0)</f>
        <v>1</v>
      </c>
      <c r="Y256" s="65"/>
    </row>
    <row r="257" ht="14.25" customHeight="1">
      <c r="B257" s="148" t="s">
        <v>358</v>
      </c>
      <c r="C257" s="183"/>
      <c r="D257" s="70"/>
      <c r="L257" s="61"/>
      <c r="M257" s="62"/>
      <c r="N257" s="64"/>
      <c r="O257" s="62"/>
      <c r="P257" s="63"/>
      <c r="Q257" s="62"/>
      <c r="R257" s="63"/>
      <c r="S257" s="64"/>
      <c r="T257" s="64"/>
      <c r="U257" s="68"/>
      <c r="V257" s="64"/>
      <c r="W257" s="68"/>
      <c r="X257" s="64"/>
      <c r="Y257" s="65"/>
    </row>
    <row r="258" ht="14.25" customHeight="1">
      <c r="B258" s="69">
        <v>6.17</v>
      </c>
      <c r="C258" s="231" t="s">
        <v>359</v>
      </c>
      <c r="D258" s="70"/>
      <c r="L258" s="61"/>
      <c r="M258" s="62"/>
      <c r="N258" s="64"/>
      <c r="O258" s="62"/>
      <c r="P258" s="63"/>
      <c r="Q258" s="62"/>
      <c r="R258" s="64">
        <v>1.0</v>
      </c>
      <c r="S258" s="64"/>
      <c r="T258" s="64">
        <v>5.0</v>
      </c>
      <c r="U258" s="68">
        <v>2.0</v>
      </c>
      <c r="V258" s="64">
        <v>2.0</v>
      </c>
      <c r="W258" s="68">
        <f t="shared" ref="W258:W259" si="6">SUM(S258:V258)</f>
        <v>9</v>
      </c>
      <c r="X258" s="64">
        <f>IFERROR(__xludf.DUMMYFUNCTION("+W258-R258"),8.0)</f>
        <v>8</v>
      </c>
      <c r="Y258" s="65"/>
    </row>
    <row r="259" ht="14.25" customHeight="1">
      <c r="B259" s="69">
        <v>6.18</v>
      </c>
      <c r="C259" s="231" t="s">
        <v>360</v>
      </c>
      <c r="D259" s="70"/>
      <c r="L259" s="61"/>
      <c r="M259" s="62"/>
      <c r="N259" s="64"/>
      <c r="O259" s="62"/>
      <c r="P259" s="63"/>
      <c r="Q259" s="62"/>
      <c r="R259" s="64">
        <v>42.0</v>
      </c>
      <c r="S259" s="64"/>
      <c r="T259" s="64">
        <v>3.0</v>
      </c>
      <c r="U259" s="68">
        <v>2.0</v>
      </c>
      <c r="V259" s="64">
        <v>4.0</v>
      </c>
      <c r="W259" s="68">
        <f t="shared" si="6"/>
        <v>9</v>
      </c>
      <c r="X259" s="64">
        <f>IFERROR(__xludf.DUMMYFUNCTION("+W259-R259"),-33.0)</f>
        <v>-33</v>
      </c>
      <c r="Y259" s="65"/>
    </row>
    <row r="260" ht="14.25" customHeight="1">
      <c r="B260" s="148"/>
      <c r="C260" s="183"/>
      <c r="D260" s="70"/>
      <c r="L260" s="61"/>
      <c r="M260" s="62"/>
      <c r="N260" s="64"/>
      <c r="O260" s="62"/>
      <c r="P260" s="63"/>
      <c r="Q260" s="62"/>
      <c r="R260" s="64"/>
      <c r="S260" s="64"/>
      <c r="T260" s="64"/>
      <c r="U260" s="68"/>
      <c r="V260" s="64"/>
      <c r="W260" s="68"/>
      <c r="X260" s="64"/>
      <c r="Y260" s="65"/>
    </row>
    <row r="261" ht="14.25" customHeight="1">
      <c r="B261" s="148" t="s">
        <v>361</v>
      </c>
      <c r="C261" s="183"/>
      <c r="D261" s="70"/>
      <c r="L261" s="61"/>
      <c r="M261" s="62"/>
      <c r="N261" s="64"/>
      <c r="O261" s="62"/>
      <c r="P261" s="63"/>
      <c r="Q261" s="62"/>
      <c r="R261" s="64"/>
      <c r="S261" s="64"/>
      <c r="T261" s="64"/>
      <c r="U261" s="68"/>
      <c r="V261" s="64"/>
      <c r="W261" s="68"/>
      <c r="X261" s="64"/>
      <c r="Y261" s="65"/>
    </row>
    <row r="262" ht="14.25" customHeight="1">
      <c r="B262" s="148" t="s">
        <v>362</v>
      </c>
      <c r="C262" s="183"/>
      <c r="D262" s="70"/>
      <c r="L262" s="61"/>
      <c r="M262" s="62"/>
      <c r="N262" s="64"/>
      <c r="O262" s="62"/>
      <c r="P262" s="63"/>
      <c r="Q262" s="62"/>
      <c r="R262" s="64"/>
      <c r="S262" s="64"/>
      <c r="T262" s="64"/>
      <c r="U262" s="68"/>
      <c r="V262" s="64"/>
      <c r="W262" s="68"/>
      <c r="X262" s="64"/>
      <c r="Y262" s="65"/>
    </row>
    <row r="263" ht="14.25" customHeight="1">
      <c r="B263" s="69">
        <v>7.1</v>
      </c>
      <c r="C263" s="231" t="s">
        <v>363</v>
      </c>
      <c r="D263" s="77"/>
      <c r="E263" s="77"/>
      <c r="L263" s="61"/>
      <c r="M263" s="62"/>
      <c r="N263" s="63"/>
      <c r="O263" s="62"/>
      <c r="P263" s="63"/>
      <c r="Q263" s="62"/>
      <c r="R263" s="114">
        <v>0.9</v>
      </c>
      <c r="S263" s="92">
        <v>0.969</v>
      </c>
      <c r="T263" s="92">
        <v>0.9706</v>
      </c>
      <c r="U263" s="145">
        <v>0.9774</v>
      </c>
      <c r="V263" s="92">
        <v>0.958</v>
      </c>
      <c r="W263" s="145">
        <f t="shared" ref="W263:W265" si="7">AVERAGE(S263:V263)</f>
        <v>0.96875</v>
      </c>
      <c r="X263" s="92">
        <f>IFERROR(__xludf.DUMMYFUNCTION("+W263-R263"),0.06874999999999998)</f>
        <v>0.06875</v>
      </c>
      <c r="Y263" s="65"/>
    </row>
    <row r="264" ht="14.25" customHeight="1">
      <c r="B264" s="69">
        <v>7.2</v>
      </c>
      <c r="C264" s="231" t="s">
        <v>364</v>
      </c>
      <c r="D264" s="77"/>
      <c r="E264" s="77"/>
      <c r="L264" s="61"/>
      <c r="M264" s="62"/>
      <c r="N264" s="114">
        <v>0.25</v>
      </c>
      <c r="O264" s="115">
        <v>0.25</v>
      </c>
      <c r="P264" s="114">
        <v>0.25</v>
      </c>
      <c r="Q264" s="115">
        <v>0.25</v>
      </c>
      <c r="R264" s="114">
        <v>0.25</v>
      </c>
      <c r="S264" s="92">
        <v>0.2984</v>
      </c>
      <c r="T264" s="92">
        <v>0.2985</v>
      </c>
      <c r="U264" s="145">
        <v>0.3208</v>
      </c>
      <c r="V264" s="92">
        <v>0.276</v>
      </c>
      <c r="W264" s="145">
        <f t="shared" si="7"/>
        <v>0.298425</v>
      </c>
      <c r="X264" s="92">
        <f>IFERROR(__xludf.DUMMYFUNCTION("+W264-R264"),0.048424999999999996)</f>
        <v>0.048425</v>
      </c>
      <c r="Y264" s="65"/>
    </row>
    <row r="265" ht="14.25" customHeight="1">
      <c r="B265" s="69">
        <v>7.3</v>
      </c>
      <c r="C265" s="231" t="s">
        <v>365</v>
      </c>
      <c r="D265" s="154"/>
      <c r="E265" s="77"/>
      <c r="L265" s="61"/>
      <c r="M265" s="62"/>
      <c r="N265" s="114">
        <v>1.0</v>
      </c>
      <c r="O265" s="115">
        <v>1.0</v>
      </c>
      <c r="P265" s="114">
        <v>1.0</v>
      </c>
      <c r="Q265" s="115">
        <v>1.0</v>
      </c>
      <c r="R265" s="114">
        <v>1.0</v>
      </c>
      <c r="S265" s="92">
        <v>1.0</v>
      </c>
      <c r="T265" s="92">
        <v>1.0</v>
      </c>
      <c r="U265" s="145">
        <v>1.0</v>
      </c>
      <c r="V265" s="92">
        <v>1.0</v>
      </c>
      <c r="W265" s="145">
        <f t="shared" si="7"/>
        <v>1</v>
      </c>
      <c r="X265" s="92">
        <f>IFERROR(__xludf.DUMMYFUNCTION("+W265-R265"),0.0)</f>
        <v>0</v>
      </c>
      <c r="Y265" s="65"/>
    </row>
    <row r="266" ht="14.25" customHeight="1">
      <c r="B266" s="148" t="s">
        <v>366</v>
      </c>
      <c r="C266" s="183"/>
      <c r="D266" s="70"/>
      <c r="E266" s="233"/>
      <c r="L266" s="61"/>
      <c r="M266" s="62"/>
      <c r="N266" s="64"/>
      <c r="O266" s="62"/>
      <c r="P266" s="63"/>
      <c r="Q266" s="62"/>
      <c r="R266" s="63"/>
      <c r="S266" s="64"/>
      <c r="T266" s="64"/>
      <c r="U266" s="68"/>
      <c r="V266" s="64"/>
      <c r="W266" s="68"/>
      <c r="X266" s="64"/>
      <c r="Y266" s="65"/>
    </row>
    <row r="267" ht="14.25" customHeight="1">
      <c r="B267" s="69">
        <v>7.4</v>
      </c>
      <c r="C267" s="231" t="s">
        <v>367</v>
      </c>
      <c r="D267" s="70"/>
      <c r="E267" s="77"/>
      <c r="L267" s="61"/>
      <c r="M267" s="62"/>
      <c r="N267" s="64"/>
      <c r="O267" s="62"/>
      <c r="P267" s="63"/>
      <c r="Q267" s="62"/>
      <c r="R267" s="114" t="s">
        <v>131</v>
      </c>
      <c r="S267" s="64"/>
      <c r="T267" s="64"/>
      <c r="U267" s="68"/>
      <c r="V267" s="234" t="s">
        <v>368</v>
      </c>
      <c r="W267" s="68" t="str">
        <f>IFERROR(__xludf.DUMMYFUNCTION("+V267"),"-")</f>
        <v>-</v>
      </c>
      <c r="X267" s="64"/>
      <c r="Y267" s="536" t="s">
        <v>831</v>
      </c>
    </row>
    <row r="268" ht="14.25" customHeight="1">
      <c r="B268" s="69">
        <v>7.5</v>
      </c>
      <c r="C268" s="231" t="s">
        <v>369</v>
      </c>
      <c r="D268" s="70"/>
      <c r="E268" s="233"/>
      <c r="L268" s="61"/>
      <c r="M268" s="62"/>
      <c r="N268" s="64"/>
      <c r="O268" s="62"/>
      <c r="P268" s="63"/>
      <c r="Q268" s="62"/>
      <c r="R268" s="114" t="s">
        <v>131</v>
      </c>
      <c r="S268" s="64"/>
      <c r="T268" s="64"/>
      <c r="U268" s="68"/>
      <c r="V268" s="234" t="s">
        <v>368</v>
      </c>
      <c r="W268" s="68" t="str">
        <f>IFERROR(__xludf.DUMMYFUNCTION("+V268"),"-")</f>
        <v>-</v>
      </c>
      <c r="X268" s="64"/>
      <c r="Y268" s="40"/>
    </row>
    <row r="269" ht="14.25" customHeight="1">
      <c r="B269" s="69">
        <v>7.6</v>
      </c>
      <c r="C269" s="231" t="s">
        <v>371</v>
      </c>
      <c r="D269" s="70"/>
      <c r="L269" s="61"/>
      <c r="M269" s="62"/>
      <c r="N269" s="64"/>
      <c r="O269" s="62"/>
      <c r="P269" s="63"/>
      <c r="Q269" s="62"/>
      <c r="R269" s="114" t="s">
        <v>131</v>
      </c>
      <c r="S269" s="64"/>
      <c r="T269" s="64"/>
      <c r="U269" s="68"/>
      <c r="V269" s="114">
        <v>1.0</v>
      </c>
      <c r="W269" s="115">
        <f>IFERROR(__xludf.DUMMYFUNCTION("+V269"),1.0)</f>
        <v>1</v>
      </c>
      <c r="X269" s="64"/>
      <c r="Y269" s="90"/>
    </row>
    <row r="270" ht="14.25" customHeight="1">
      <c r="B270" s="148" t="s">
        <v>372</v>
      </c>
      <c r="C270" s="183"/>
      <c r="D270" s="70"/>
      <c r="L270" s="61"/>
      <c r="M270" s="62"/>
      <c r="N270" s="64"/>
      <c r="O270" s="62"/>
      <c r="P270" s="63"/>
      <c r="Q270" s="62"/>
      <c r="R270" s="63"/>
      <c r="S270" s="64"/>
      <c r="T270" s="64"/>
      <c r="U270" s="68"/>
      <c r="V270" s="64"/>
      <c r="W270" s="68"/>
      <c r="X270" s="64"/>
      <c r="Y270" s="65"/>
    </row>
    <row r="271" ht="14.25" customHeight="1">
      <c r="B271" s="69">
        <v>7.7</v>
      </c>
      <c r="C271" s="231" t="s">
        <v>373</v>
      </c>
      <c r="D271" s="70"/>
      <c r="L271" s="61"/>
      <c r="M271" s="62"/>
      <c r="N271" s="64"/>
      <c r="O271" s="62"/>
      <c r="P271" s="63"/>
      <c r="Q271" s="62"/>
      <c r="R271" s="235">
        <v>5.0</v>
      </c>
      <c r="S271" s="235">
        <v>1.0</v>
      </c>
      <c r="T271" s="64">
        <v>1.0</v>
      </c>
      <c r="U271" s="237">
        <v>4.0</v>
      </c>
      <c r="V271" s="235">
        <v>4.0</v>
      </c>
      <c r="W271" s="235">
        <f>IFERROR(__xludf.DUMMYFUNCTION("+V271"),4.0)</f>
        <v>4</v>
      </c>
      <c r="X271" s="64"/>
      <c r="Y271" s="65"/>
    </row>
    <row r="272" ht="14.25" customHeight="1">
      <c r="B272" s="69">
        <v>7.8</v>
      </c>
      <c r="C272" s="231" t="s">
        <v>374</v>
      </c>
      <c r="D272" s="70"/>
      <c r="L272" s="61"/>
      <c r="M272" s="62"/>
      <c r="N272" s="64"/>
      <c r="O272" s="62"/>
      <c r="P272" s="63"/>
      <c r="Q272" s="62"/>
      <c r="R272" s="537">
        <v>0.0033</v>
      </c>
      <c r="S272" s="239"/>
      <c r="T272" s="114">
        <v>1.0</v>
      </c>
      <c r="U272" s="538">
        <v>0.0033</v>
      </c>
      <c r="V272" s="537">
        <v>0.0033</v>
      </c>
      <c r="W272" s="537">
        <f>IFERROR(__xludf.DUMMYFUNCTION("+V272"),0.0033)</f>
        <v>0.0033</v>
      </c>
      <c r="X272" s="64"/>
      <c r="Y272" s="65"/>
    </row>
    <row r="273" ht="14.25" customHeight="1">
      <c r="B273" s="69">
        <v>7.9</v>
      </c>
      <c r="C273" s="231" t="s">
        <v>376</v>
      </c>
      <c r="D273" s="70"/>
      <c r="L273" s="61"/>
      <c r="M273" s="62"/>
      <c r="N273" s="64"/>
      <c r="O273" s="62"/>
      <c r="P273" s="63"/>
      <c r="Q273" s="62"/>
      <c r="R273" s="235" t="s">
        <v>832</v>
      </c>
      <c r="S273" s="235" t="s">
        <v>833</v>
      </c>
      <c r="T273" s="235" t="s">
        <v>834</v>
      </c>
      <c r="U273" s="237" t="s">
        <v>834</v>
      </c>
      <c r="V273" s="235" t="s">
        <v>834</v>
      </c>
      <c r="W273" s="101" t="str">
        <f>IFERROR(__xludf.DUMMYFUNCTION("+V273"),"18 vehicles and 5 motorcycles")</f>
        <v>18 vehicles and 5 motorcycles</v>
      </c>
      <c r="X273" s="64"/>
      <c r="Y273" s="65"/>
    </row>
    <row r="274" ht="14.25" customHeight="1">
      <c r="B274" s="69">
        <v>7.1</v>
      </c>
      <c r="C274" s="231" t="s">
        <v>381</v>
      </c>
      <c r="D274" s="77"/>
      <c r="L274" s="61"/>
      <c r="M274" s="62"/>
      <c r="N274" s="64"/>
      <c r="O274" s="62"/>
      <c r="P274" s="63"/>
      <c r="Q274" s="62"/>
      <c r="R274" s="239"/>
      <c r="S274" s="239"/>
      <c r="T274" s="235" t="s">
        <v>835</v>
      </c>
      <c r="U274" s="237" t="s">
        <v>836</v>
      </c>
      <c r="V274" s="235" t="s">
        <v>837</v>
      </c>
      <c r="W274" s="163" t="str">
        <f>IFERROR(__xludf.DUMMYFUNCTION("+V274"),"75% digitized
75% disposed")</f>
        <v>75% digitized
75% disposed</v>
      </c>
      <c r="X274" s="64"/>
      <c r="Y274" s="65"/>
    </row>
    <row r="275" ht="14.25" customHeight="1">
      <c r="B275" s="148" t="s">
        <v>386</v>
      </c>
      <c r="C275" s="183"/>
      <c r="D275" s="77"/>
      <c r="L275" s="61"/>
      <c r="M275" s="62"/>
      <c r="N275" s="63"/>
      <c r="O275" s="62"/>
      <c r="P275" s="63"/>
      <c r="Q275" s="62"/>
      <c r="R275" s="63"/>
      <c r="S275" s="63"/>
      <c r="T275" s="64"/>
      <c r="U275" s="68"/>
      <c r="V275" s="64"/>
      <c r="W275" s="68"/>
      <c r="X275" s="64"/>
      <c r="Y275" s="65"/>
    </row>
    <row r="276" ht="14.25" customHeight="1">
      <c r="B276" s="69">
        <v>7.11</v>
      </c>
      <c r="C276" s="231" t="s">
        <v>387</v>
      </c>
      <c r="D276" s="154"/>
      <c r="L276" s="61"/>
      <c r="M276" s="62"/>
      <c r="N276" s="63"/>
      <c r="O276" s="62"/>
      <c r="P276" s="63"/>
      <c r="Q276" s="62"/>
      <c r="R276" s="114">
        <v>1.0</v>
      </c>
      <c r="S276" s="92">
        <v>0.2829</v>
      </c>
      <c r="T276" s="92">
        <v>0.5935</v>
      </c>
      <c r="U276" s="145">
        <v>0.7882</v>
      </c>
      <c r="V276" s="114">
        <v>0.9851</v>
      </c>
      <c r="W276" s="145">
        <f t="shared" ref="W276:W277" si="8">V276</f>
        <v>0.9851</v>
      </c>
      <c r="X276" s="92">
        <f>IFERROR(__xludf.DUMMYFUNCTION("+W276-R276"),-0.014900000000000024)</f>
        <v>-0.0149</v>
      </c>
      <c r="Y276" s="65"/>
    </row>
    <row r="277" ht="14.25" customHeight="1">
      <c r="B277" s="69"/>
      <c r="C277" s="231" t="s">
        <v>388</v>
      </c>
      <c r="D277" s="70"/>
      <c r="L277" s="61"/>
      <c r="M277" s="62"/>
      <c r="N277" s="64"/>
      <c r="O277" s="62"/>
      <c r="P277" s="63"/>
      <c r="Q277" s="62"/>
      <c r="R277" s="114">
        <v>1.0</v>
      </c>
      <c r="S277" s="92">
        <v>0.571</v>
      </c>
      <c r="T277" s="92">
        <v>0.7249</v>
      </c>
      <c r="U277" s="145">
        <v>0.765</v>
      </c>
      <c r="V277" s="114">
        <v>0.8849</v>
      </c>
      <c r="W277" s="145">
        <f t="shared" si="8"/>
        <v>0.8849</v>
      </c>
      <c r="X277" s="92">
        <f>IFERROR(__xludf.DUMMYFUNCTION("+W277-R277"),-0.11509999999999998)</f>
        <v>-0.1151</v>
      </c>
      <c r="Y277" s="65"/>
    </row>
    <row r="278" ht="14.25" customHeight="1">
      <c r="B278" s="69"/>
      <c r="C278" s="231" t="s">
        <v>389</v>
      </c>
      <c r="D278" s="70"/>
      <c r="L278" s="61"/>
      <c r="M278" s="62"/>
      <c r="N278" s="64"/>
      <c r="O278" s="62"/>
      <c r="P278" s="63"/>
      <c r="Q278" s="62"/>
      <c r="R278" s="64"/>
      <c r="S278" s="92"/>
      <c r="T278" s="92"/>
      <c r="U278" s="145"/>
      <c r="V278" s="114"/>
      <c r="W278" s="145"/>
      <c r="X278" s="92"/>
      <c r="Y278" s="65"/>
    </row>
    <row r="279" ht="14.25" customHeight="1">
      <c r="B279" s="69">
        <v>7.12</v>
      </c>
      <c r="C279" s="231" t="s">
        <v>391</v>
      </c>
      <c r="D279" s="70"/>
      <c r="E279" s="77"/>
      <c r="L279" s="61"/>
      <c r="M279" s="62"/>
      <c r="N279" s="64"/>
      <c r="O279" s="62"/>
      <c r="P279" s="63"/>
      <c r="Q279" s="62"/>
      <c r="R279" s="114">
        <v>1.0</v>
      </c>
      <c r="S279" s="92">
        <v>0.8899</v>
      </c>
      <c r="T279" s="92">
        <v>0.8134</v>
      </c>
      <c r="U279" s="145">
        <v>0.8945</v>
      </c>
      <c r="V279" s="114">
        <v>0.84</v>
      </c>
      <c r="W279" s="145">
        <f>V279</f>
        <v>0.84</v>
      </c>
      <c r="X279" s="92">
        <f>IFERROR(__xludf.DUMMYFUNCTION("+W279-R279"),-0.16000000000000003)</f>
        <v>-0.16</v>
      </c>
      <c r="Y279" s="65"/>
    </row>
    <row r="280" ht="14.25" customHeight="1">
      <c r="B280" s="69"/>
      <c r="C280" s="231" t="s">
        <v>392</v>
      </c>
      <c r="D280" s="70"/>
      <c r="E280" s="77"/>
      <c r="L280" s="61"/>
      <c r="M280" s="62"/>
      <c r="N280" s="64"/>
      <c r="O280" s="62"/>
      <c r="P280" s="63"/>
      <c r="Q280" s="62"/>
      <c r="R280" s="114"/>
      <c r="S280" s="92"/>
      <c r="T280" s="92"/>
      <c r="U280" s="145"/>
      <c r="V280" s="114"/>
      <c r="W280" s="145"/>
      <c r="X280" s="92"/>
      <c r="Y280" s="65"/>
    </row>
    <row r="281" ht="14.25" customHeight="1">
      <c r="B281" s="69"/>
      <c r="C281" s="231" t="s">
        <v>393</v>
      </c>
      <c r="D281" s="70"/>
      <c r="E281" s="233"/>
      <c r="L281" s="61"/>
      <c r="M281" s="62"/>
      <c r="N281" s="64"/>
      <c r="O281" s="62"/>
      <c r="P281" s="63"/>
      <c r="Q281" s="62"/>
      <c r="R281" s="114">
        <v>0.5</v>
      </c>
      <c r="S281" s="92">
        <v>0.2009</v>
      </c>
      <c r="T281" s="92">
        <v>0.2878</v>
      </c>
      <c r="U281" s="145">
        <v>0.964</v>
      </c>
      <c r="V281" s="114">
        <v>0.9644</v>
      </c>
      <c r="W281" s="145">
        <f t="shared" ref="W281:W282" si="9">V281</f>
        <v>0.9644</v>
      </c>
      <c r="X281" s="92">
        <f>IFERROR(__xludf.DUMMYFUNCTION("+W281-R281"),0.46440000000000003)</f>
        <v>0.4644</v>
      </c>
      <c r="Y281" s="65"/>
    </row>
    <row r="282" ht="14.25" customHeight="1">
      <c r="B282" s="69"/>
      <c r="C282" s="231" t="s">
        <v>752</v>
      </c>
      <c r="D282" s="70"/>
      <c r="E282" s="77"/>
      <c r="L282" s="61"/>
      <c r="M282" s="62"/>
      <c r="N282" s="64"/>
      <c r="O282" s="62"/>
      <c r="P282" s="63"/>
      <c r="Q282" s="62"/>
      <c r="R282" s="114">
        <v>1.0</v>
      </c>
      <c r="S282" s="92">
        <v>0.9169</v>
      </c>
      <c r="T282" s="92">
        <v>1.0</v>
      </c>
      <c r="U282" s="145">
        <v>1.0</v>
      </c>
      <c r="V282" s="114">
        <v>1.0</v>
      </c>
      <c r="W282" s="145">
        <f t="shared" si="9"/>
        <v>1</v>
      </c>
      <c r="X282" s="92">
        <f>IFERROR(__xludf.DUMMYFUNCTION("+W282-R282"),0.0)</f>
        <v>0</v>
      </c>
      <c r="Y282" s="65"/>
    </row>
    <row r="283" ht="14.25" customHeight="1">
      <c r="B283" s="69"/>
      <c r="C283" s="231" t="s">
        <v>753</v>
      </c>
      <c r="D283" s="70"/>
      <c r="E283" s="233"/>
      <c r="L283" s="61"/>
      <c r="M283" s="62"/>
      <c r="N283" s="64"/>
      <c r="O283" s="62"/>
      <c r="P283" s="63"/>
      <c r="Q283" s="62"/>
      <c r="R283" s="64"/>
      <c r="S283" s="92"/>
      <c r="T283" s="92"/>
      <c r="U283" s="145"/>
      <c r="V283" s="114"/>
      <c r="W283" s="145"/>
      <c r="X283" s="92"/>
      <c r="Y283" s="65"/>
    </row>
    <row r="284" ht="14.25" customHeight="1">
      <c r="B284" s="69"/>
      <c r="C284" s="231" t="s">
        <v>396</v>
      </c>
      <c r="D284" s="154"/>
      <c r="L284" s="61"/>
      <c r="M284" s="62"/>
      <c r="N284" s="64"/>
      <c r="O284" s="62"/>
      <c r="P284" s="63"/>
      <c r="Q284" s="62"/>
      <c r="R284" s="114">
        <v>0.4</v>
      </c>
      <c r="S284" s="92">
        <v>0.0051</v>
      </c>
      <c r="T284" s="92">
        <v>0.378</v>
      </c>
      <c r="U284" s="145">
        <v>0.3984</v>
      </c>
      <c r="V284" s="114">
        <v>0.4042</v>
      </c>
      <c r="W284" s="145">
        <f t="shared" ref="W284:W287" si="10">V284</f>
        <v>0.4042</v>
      </c>
      <c r="X284" s="92">
        <f>IFERROR(__xludf.DUMMYFUNCTION("+W284-R284"),0.0041999999999999815)</f>
        <v>0.0042</v>
      </c>
      <c r="Y284" s="65"/>
    </row>
    <row r="285" ht="14.25" customHeight="1">
      <c r="B285" s="69"/>
      <c r="C285" s="231" t="s">
        <v>397</v>
      </c>
      <c r="D285" s="154"/>
      <c r="L285" s="61"/>
      <c r="M285" s="62"/>
      <c r="N285" s="64"/>
      <c r="O285" s="62"/>
      <c r="P285" s="63"/>
      <c r="Q285" s="62"/>
      <c r="R285" s="114">
        <v>0.75</v>
      </c>
      <c r="S285" s="92">
        <v>0.2431</v>
      </c>
      <c r="T285" s="92">
        <v>0.55</v>
      </c>
      <c r="U285" s="145">
        <v>0.6354</v>
      </c>
      <c r="V285" s="114">
        <v>0.6729</v>
      </c>
      <c r="W285" s="145">
        <f t="shared" si="10"/>
        <v>0.6729</v>
      </c>
      <c r="X285" s="92">
        <f>IFERROR(__xludf.DUMMYFUNCTION("+W285-R285"),-0.07709999999999995)</f>
        <v>-0.0771</v>
      </c>
      <c r="Y285" s="65"/>
    </row>
    <row r="286" ht="14.25" customHeight="1">
      <c r="B286" s="69"/>
      <c r="C286" s="231" t="s">
        <v>398</v>
      </c>
      <c r="D286" s="70"/>
      <c r="L286" s="61"/>
      <c r="M286" s="62"/>
      <c r="N286" s="63"/>
      <c r="O286" s="62"/>
      <c r="P286" s="63"/>
      <c r="Q286" s="62"/>
      <c r="R286" s="114">
        <v>1.0</v>
      </c>
      <c r="S286" s="92">
        <v>1.0</v>
      </c>
      <c r="T286" s="92">
        <v>1.0</v>
      </c>
      <c r="U286" s="145">
        <v>0.971</v>
      </c>
      <c r="V286" s="114">
        <v>1.0</v>
      </c>
      <c r="W286" s="145">
        <f t="shared" si="10"/>
        <v>1</v>
      </c>
      <c r="X286" s="92">
        <f>IFERROR(__xludf.DUMMYFUNCTION("+W286-R286"),0.0)</f>
        <v>0</v>
      </c>
      <c r="Y286" s="65"/>
    </row>
    <row r="287" ht="14.25" customHeight="1">
      <c r="B287" s="69">
        <v>7.13</v>
      </c>
      <c r="C287" s="231" t="s">
        <v>399</v>
      </c>
      <c r="D287" s="144"/>
      <c r="L287" s="61"/>
      <c r="M287" s="62"/>
      <c r="N287" s="63"/>
      <c r="O287" s="62"/>
      <c r="P287" s="63"/>
      <c r="Q287" s="62"/>
      <c r="R287" s="114">
        <v>1.0</v>
      </c>
      <c r="S287" s="92">
        <v>1.0</v>
      </c>
      <c r="T287" s="92">
        <v>0.9776</v>
      </c>
      <c r="U287" s="145">
        <v>0.9776</v>
      </c>
      <c r="V287" s="114">
        <v>0.9776</v>
      </c>
      <c r="W287" s="145">
        <f t="shared" si="10"/>
        <v>0.9776</v>
      </c>
      <c r="X287" s="92">
        <f>IFERROR(__xludf.DUMMYFUNCTION("+W287-R287"),-0.022399999999999975)</f>
        <v>-0.0224</v>
      </c>
      <c r="Y287" s="65"/>
    </row>
    <row r="288" ht="14.25" customHeight="1">
      <c r="B288" s="69">
        <v>7.14</v>
      </c>
      <c r="C288" s="231" t="s">
        <v>400</v>
      </c>
      <c r="D288" s="70"/>
      <c r="L288" s="61"/>
      <c r="M288" s="62"/>
      <c r="N288" s="64"/>
      <c r="O288" s="62"/>
      <c r="P288" s="63"/>
      <c r="Q288" s="62"/>
      <c r="R288" s="63"/>
      <c r="S288" s="64"/>
      <c r="T288" s="64"/>
      <c r="U288" s="68"/>
      <c r="V288" s="64"/>
      <c r="W288" s="68"/>
      <c r="X288" s="64"/>
      <c r="Y288" s="65"/>
    </row>
    <row r="289" ht="14.25" customHeight="1">
      <c r="B289" s="148" t="s">
        <v>401</v>
      </c>
      <c r="C289" s="183"/>
      <c r="D289" s="70"/>
      <c r="L289" s="61"/>
      <c r="M289" s="62"/>
      <c r="N289" s="64"/>
      <c r="O289" s="62"/>
      <c r="P289" s="63"/>
      <c r="Q289" s="62"/>
      <c r="R289" s="63"/>
      <c r="S289" s="64"/>
      <c r="T289" s="64"/>
      <c r="U289" s="68"/>
      <c r="V289" s="64"/>
      <c r="W289" s="68"/>
      <c r="X289" s="64"/>
      <c r="Y289" s="65"/>
    </row>
    <row r="290" ht="14.25" customHeight="1">
      <c r="B290" s="69">
        <v>7.15</v>
      </c>
      <c r="C290" s="231" t="s">
        <v>402</v>
      </c>
      <c r="D290" s="70"/>
      <c r="L290" s="61"/>
      <c r="M290" s="62"/>
      <c r="N290" s="64"/>
      <c r="O290" s="62"/>
      <c r="P290" s="63"/>
      <c r="Q290" s="62"/>
      <c r="R290" s="114">
        <v>0.85</v>
      </c>
      <c r="S290" s="92">
        <v>0.757</v>
      </c>
      <c r="T290" s="64"/>
      <c r="U290" s="145">
        <v>0.6253462603878116</v>
      </c>
      <c r="V290" s="92">
        <v>0.5450892857142857</v>
      </c>
      <c r="W290" s="145">
        <f>AVERAGE(S290:V290)</f>
        <v>0.6424785154</v>
      </c>
      <c r="X290" s="242">
        <f>IFERROR(__xludf.DUMMYFUNCTION("+W290-R290"),-0.2075214846326342)</f>
        <v>-0.2075214846</v>
      </c>
      <c r="Y290" s="65"/>
    </row>
    <row r="291" ht="14.25" customHeight="1">
      <c r="B291" s="69">
        <v>7.16</v>
      </c>
      <c r="C291" s="231" t="s">
        <v>404</v>
      </c>
      <c r="D291" s="70"/>
      <c r="L291" s="61"/>
      <c r="M291" s="62"/>
      <c r="N291" s="64"/>
      <c r="O291" s="62"/>
      <c r="P291" s="63"/>
      <c r="Q291" s="62"/>
      <c r="R291" s="114">
        <v>1.0</v>
      </c>
      <c r="S291" s="92">
        <v>0.2</v>
      </c>
      <c r="T291" s="92">
        <v>0.2</v>
      </c>
      <c r="U291" s="145">
        <v>0.75</v>
      </c>
      <c r="V291" s="92">
        <v>0.75</v>
      </c>
      <c r="W291" s="145">
        <f>V291</f>
        <v>0.75</v>
      </c>
      <c r="X291" s="242">
        <f>IFERROR(__xludf.DUMMYFUNCTION("+W291-R291"),-0.25)</f>
        <v>-0.25</v>
      </c>
      <c r="Y291" s="65"/>
    </row>
    <row r="292" ht="15.75" customHeight="1">
      <c r="B292" s="243"/>
      <c r="C292" s="244"/>
      <c r="D292" s="245"/>
      <c r="E292" s="246"/>
      <c r="F292" s="247"/>
      <c r="G292" s="247"/>
      <c r="H292" s="244"/>
      <c r="I292" s="244"/>
      <c r="J292" s="244"/>
      <c r="K292" s="244"/>
      <c r="L292" s="248"/>
      <c r="M292" s="249"/>
      <c r="N292" s="250"/>
      <c r="O292" s="251"/>
      <c r="P292" s="250"/>
      <c r="Q292" s="251"/>
      <c r="R292" s="250"/>
      <c r="S292" s="251"/>
      <c r="T292" s="250"/>
      <c r="U292" s="251"/>
      <c r="V292" s="250"/>
      <c r="W292" s="251"/>
      <c r="X292" s="250"/>
      <c r="Y292" s="253"/>
    </row>
    <row r="293" ht="14.25" customHeight="1">
      <c r="N293" s="206"/>
      <c r="O293" s="206"/>
      <c r="P293" s="206"/>
      <c r="Q293" s="206"/>
      <c r="R293" s="206"/>
      <c r="S293" s="206"/>
      <c r="T293" s="206"/>
      <c r="U293" s="206"/>
      <c r="V293" s="206"/>
      <c r="W293" s="206"/>
      <c r="X293" s="206"/>
    </row>
    <row r="294" ht="14.25" customHeight="1">
      <c r="N294" s="206"/>
      <c r="O294" s="206"/>
      <c r="P294" s="206"/>
      <c r="Q294" s="206"/>
      <c r="R294" s="206"/>
      <c r="S294" s="206"/>
      <c r="T294" s="206"/>
      <c r="U294" s="206"/>
      <c r="V294" s="206"/>
      <c r="W294" s="206"/>
      <c r="X294" s="206"/>
    </row>
    <row r="295" ht="14.25" customHeight="1">
      <c r="S295" s="206"/>
      <c r="T295" s="206"/>
      <c r="U295" s="206"/>
      <c r="V295" s="206"/>
      <c r="W295" s="206"/>
      <c r="X295" s="206"/>
    </row>
    <row r="296" ht="14.25" customHeight="1">
      <c r="B296" s="539" t="s">
        <v>405</v>
      </c>
      <c r="C296" s="539"/>
      <c r="D296" s="539"/>
      <c r="E296" s="539"/>
      <c r="F296" s="539"/>
      <c r="G296" s="539"/>
      <c r="H296" s="539"/>
      <c r="I296" s="539"/>
      <c r="J296" s="539"/>
      <c r="K296" s="539"/>
      <c r="L296" s="539"/>
      <c r="M296" s="539" t="s">
        <v>406</v>
      </c>
      <c r="N296" s="539"/>
      <c r="O296" s="539"/>
      <c r="P296" s="539"/>
      <c r="Q296" s="539"/>
      <c r="R296" s="539"/>
      <c r="S296" s="256"/>
      <c r="T296" s="256"/>
      <c r="U296" s="256"/>
      <c r="V296" s="256" t="s">
        <v>407</v>
      </c>
      <c r="W296" s="256"/>
      <c r="X296" s="256"/>
    </row>
    <row r="297" ht="14.25" customHeight="1">
      <c r="B297" s="539"/>
      <c r="C297" s="539"/>
      <c r="D297" s="539"/>
      <c r="E297" s="539"/>
      <c r="F297" s="539"/>
      <c r="G297" s="539"/>
      <c r="H297" s="539"/>
      <c r="I297" s="539"/>
      <c r="J297" s="539"/>
      <c r="K297" s="539"/>
      <c r="L297" s="539"/>
      <c r="M297" s="539"/>
      <c r="N297" s="539"/>
      <c r="O297" s="539"/>
      <c r="P297" s="539"/>
      <c r="Q297" s="539"/>
      <c r="R297" s="539"/>
      <c r="S297" s="256"/>
      <c r="T297" s="256"/>
      <c r="U297" s="256"/>
      <c r="V297" s="256"/>
      <c r="W297" s="256"/>
      <c r="X297" s="256"/>
    </row>
    <row r="298" ht="14.25" customHeight="1">
      <c r="B298" s="539"/>
      <c r="C298" s="539"/>
      <c r="D298" s="539"/>
      <c r="E298" s="539"/>
      <c r="F298" s="539"/>
      <c r="G298" s="539"/>
      <c r="H298" s="539"/>
      <c r="I298" s="539"/>
      <c r="J298" s="539"/>
      <c r="K298" s="539"/>
      <c r="L298" s="539"/>
      <c r="M298" s="539"/>
      <c r="N298" s="539"/>
      <c r="O298" s="539"/>
      <c r="P298" s="539"/>
      <c r="Q298" s="539"/>
      <c r="R298" s="539"/>
      <c r="S298" s="256"/>
      <c r="T298" s="256"/>
      <c r="U298" s="256"/>
      <c r="V298" s="256"/>
      <c r="W298" s="256"/>
      <c r="X298" s="256"/>
    </row>
    <row r="299" ht="14.25" customHeight="1">
      <c r="B299" s="539"/>
      <c r="C299" s="539"/>
      <c r="D299" s="539"/>
      <c r="E299" s="539"/>
      <c r="F299" s="539"/>
      <c r="G299" s="539"/>
      <c r="H299" s="539"/>
      <c r="I299" s="539"/>
      <c r="J299" s="539"/>
      <c r="K299" s="539"/>
      <c r="L299" s="539"/>
      <c r="M299" s="539"/>
      <c r="N299" s="539"/>
      <c r="O299" s="539"/>
      <c r="P299" s="539"/>
      <c r="Q299" s="539"/>
      <c r="R299" s="539"/>
      <c r="S299" s="256"/>
      <c r="T299" s="256"/>
      <c r="U299" s="256"/>
      <c r="V299" s="256"/>
      <c r="W299" s="256"/>
      <c r="X299" s="256"/>
    </row>
    <row r="300" ht="14.25" customHeight="1">
      <c r="B300" s="539"/>
      <c r="C300" s="539"/>
      <c r="D300" s="539"/>
      <c r="E300" s="539"/>
      <c r="F300" s="539"/>
      <c r="G300" s="539"/>
      <c r="H300" s="539"/>
      <c r="I300" s="539"/>
      <c r="J300" s="539"/>
      <c r="K300" s="539"/>
      <c r="L300" s="539"/>
      <c r="M300" s="539"/>
      <c r="N300" s="539"/>
      <c r="O300" s="539"/>
      <c r="P300" s="539"/>
      <c r="Q300" s="539"/>
      <c r="R300" s="539"/>
      <c r="S300" s="256"/>
      <c r="T300" s="256"/>
      <c r="U300" s="256"/>
      <c r="V300" s="256"/>
      <c r="W300" s="256"/>
      <c r="X300" s="256"/>
    </row>
    <row r="301" ht="14.25" customHeight="1">
      <c r="B301" s="540" t="s">
        <v>408</v>
      </c>
      <c r="C301" s="539"/>
      <c r="D301" s="539"/>
      <c r="E301" s="539"/>
      <c r="F301" s="539"/>
      <c r="G301" s="539"/>
      <c r="H301" s="539"/>
      <c r="I301" s="539"/>
      <c r="J301" s="539"/>
      <c r="K301" s="539"/>
      <c r="L301" s="539"/>
      <c r="M301" s="540" t="s">
        <v>409</v>
      </c>
      <c r="N301" s="539"/>
      <c r="O301" s="539"/>
      <c r="P301" s="539"/>
      <c r="Q301" s="539"/>
      <c r="R301" s="539"/>
      <c r="S301" s="256"/>
      <c r="T301" s="256"/>
      <c r="U301" s="256"/>
      <c r="V301" s="541" t="s">
        <v>410</v>
      </c>
      <c r="W301" s="256"/>
      <c r="X301" s="256"/>
    </row>
    <row r="302" ht="14.25" customHeight="1">
      <c r="B302" s="539" t="s">
        <v>411</v>
      </c>
      <c r="C302" s="539"/>
      <c r="D302" s="539"/>
      <c r="E302" s="539"/>
      <c r="F302" s="539"/>
      <c r="G302" s="539"/>
      <c r="H302" s="539"/>
      <c r="I302" s="539"/>
      <c r="J302" s="539"/>
      <c r="K302" s="539"/>
      <c r="L302" s="539"/>
      <c r="M302" s="539" t="s">
        <v>412</v>
      </c>
      <c r="N302" s="539"/>
      <c r="O302" s="539"/>
      <c r="P302" s="539"/>
      <c r="Q302" s="539"/>
      <c r="R302" s="539"/>
      <c r="S302" s="256"/>
      <c r="T302" s="256"/>
      <c r="U302" s="256"/>
      <c r="V302" s="542" t="s">
        <v>413</v>
      </c>
      <c r="W302" s="256"/>
      <c r="X302" s="256"/>
    </row>
    <row r="303" ht="14.25" customHeight="1">
      <c r="B303" s="539"/>
      <c r="C303" s="539"/>
      <c r="D303" s="539"/>
      <c r="E303" s="539"/>
      <c r="F303" s="539"/>
      <c r="G303" s="539"/>
      <c r="H303" s="539"/>
      <c r="I303" s="539"/>
      <c r="J303" s="539"/>
      <c r="K303" s="539"/>
      <c r="L303" s="539"/>
      <c r="M303" s="539"/>
      <c r="N303" s="539"/>
      <c r="O303" s="539"/>
      <c r="P303" s="539"/>
      <c r="Q303" s="539"/>
      <c r="R303" s="539"/>
      <c r="S303" s="256"/>
      <c r="T303" s="256"/>
      <c r="U303" s="256"/>
      <c r="V303" s="256"/>
      <c r="W303" s="256"/>
      <c r="X303" s="256"/>
    </row>
    <row r="304" ht="14.25" customHeight="1">
      <c r="B304" s="539"/>
      <c r="C304" s="539"/>
      <c r="D304" s="539"/>
      <c r="E304" s="539"/>
      <c r="F304" s="539"/>
      <c r="G304" s="539"/>
      <c r="H304" s="539"/>
      <c r="I304" s="539"/>
      <c r="J304" s="539"/>
      <c r="K304" s="539"/>
      <c r="L304" s="539"/>
      <c r="M304" s="539"/>
      <c r="N304" s="539"/>
      <c r="O304" s="539"/>
      <c r="P304" s="539"/>
      <c r="Q304" s="539"/>
      <c r="R304" s="539"/>
      <c r="S304" s="256"/>
      <c r="T304" s="256"/>
      <c r="U304" s="256"/>
      <c r="V304" s="256"/>
      <c r="W304" s="256"/>
      <c r="X304" s="256"/>
    </row>
    <row r="305" ht="14.25" customHeight="1">
      <c r="B305" s="539"/>
      <c r="C305" s="539"/>
      <c r="D305" s="539"/>
      <c r="E305" s="539"/>
      <c r="F305" s="539"/>
      <c r="G305" s="539"/>
      <c r="H305" s="539"/>
      <c r="I305" s="539"/>
      <c r="J305" s="539"/>
      <c r="K305" s="539"/>
      <c r="L305" s="539"/>
      <c r="M305" s="539"/>
      <c r="N305" s="539"/>
      <c r="O305" s="539"/>
      <c r="P305" s="539"/>
      <c r="Q305" s="539"/>
      <c r="R305" s="539"/>
      <c r="S305" s="256"/>
      <c r="T305" s="256"/>
      <c r="U305" s="256"/>
      <c r="V305" s="256"/>
      <c r="W305" s="256"/>
      <c r="X305" s="256"/>
    </row>
    <row r="306" ht="14.25" customHeight="1">
      <c r="S306" s="206"/>
      <c r="T306" s="206"/>
      <c r="U306" s="206"/>
      <c r="V306" s="206"/>
      <c r="W306" s="206"/>
      <c r="X306" s="206"/>
    </row>
    <row r="307" ht="14.25" customHeight="1">
      <c r="S307" s="206"/>
      <c r="T307" s="206"/>
      <c r="U307" s="206"/>
      <c r="V307" s="206"/>
      <c r="W307" s="206"/>
      <c r="X307" s="206"/>
    </row>
    <row r="308" ht="14.25" customHeight="1">
      <c r="S308" s="206"/>
      <c r="T308" s="206"/>
      <c r="U308" s="206"/>
      <c r="V308" s="206"/>
      <c r="W308" s="206"/>
      <c r="X308" s="206"/>
    </row>
    <row r="309" ht="14.25" customHeight="1">
      <c r="S309" s="206"/>
      <c r="T309" s="206"/>
      <c r="U309" s="206"/>
      <c r="V309" s="206"/>
      <c r="W309" s="206"/>
      <c r="X309" s="206"/>
    </row>
    <row r="310" ht="14.25" customHeight="1">
      <c r="S310" s="206"/>
      <c r="T310" s="206"/>
      <c r="U310" s="206"/>
      <c r="V310" s="206"/>
      <c r="W310" s="206"/>
      <c r="X310" s="206"/>
    </row>
    <row r="311" ht="14.25" customHeight="1">
      <c r="S311" s="206"/>
      <c r="T311" s="206"/>
      <c r="U311" s="206"/>
      <c r="V311" s="206"/>
      <c r="W311" s="206"/>
      <c r="X311" s="206"/>
    </row>
    <row r="312" ht="14.25" customHeight="1">
      <c r="S312" s="206"/>
      <c r="T312" s="206"/>
      <c r="U312" s="206"/>
      <c r="V312" s="206"/>
      <c r="W312" s="206"/>
      <c r="X312" s="206"/>
    </row>
    <row r="313" ht="14.25" customHeight="1">
      <c r="S313" s="206"/>
      <c r="T313" s="206"/>
      <c r="U313" s="206"/>
      <c r="V313" s="206"/>
      <c r="W313" s="206"/>
      <c r="X313" s="206"/>
    </row>
    <row r="314" ht="14.25" customHeight="1">
      <c r="S314" s="206"/>
      <c r="T314" s="206"/>
      <c r="U314" s="206"/>
      <c r="V314" s="206"/>
      <c r="W314" s="206"/>
      <c r="X314" s="206"/>
    </row>
    <row r="315" ht="14.25" customHeight="1">
      <c r="S315" s="206"/>
      <c r="T315" s="206"/>
      <c r="U315" s="206"/>
      <c r="V315" s="206"/>
      <c r="W315" s="206"/>
      <c r="X315" s="206"/>
    </row>
    <row r="316" ht="14.25" customHeight="1">
      <c r="S316" s="206"/>
      <c r="T316" s="206"/>
      <c r="U316" s="206"/>
      <c r="V316" s="206"/>
      <c r="W316" s="206"/>
      <c r="X316" s="206"/>
    </row>
    <row r="317" ht="14.25" customHeight="1">
      <c r="S317" s="206"/>
      <c r="T317" s="206"/>
      <c r="U317" s="206"/>
      <c r="V317" s="206"/>
      <c r="W317" s="206"/>
      <c r="X317" s="206"/>
    </row>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7">
    <mergeCell ref="P12:P14"/>
    <mergeCell ref="Q12:Q14"/>
    <mergeCell ref="Y86:Y89"/>
    <mergeCell ref="Y97:Y98"/>
    <mergeCell ref="Y111:Y116"/>
    <mergeCell ref="Y209:Y221"/>
    <mergeCell ref="Y225:Y226"/>
    <mergeCell ref="Y267:Y269"/>
    <mergeCell ref="N12:N14"/>
    <mergeCell ref="O12:O14"/>
    <mergeCell ref="N37:N38"/>
    <mergeCell ref="O37:O38"/>
    <mergeCell ref="P37:P38"/>
    <mergeCell ref="Q37:Q38"/>
    <mergeCell ref="R37:R38"/>
    <mergeCell ref="R209:R221"/>
    <mergeCell ref="X1:Y1"/>
    <mergeCell ref="A2:Y2"/>
    <mergeCell ref="A3:Y3"/>
    <mergeCell ref="I5:M5"/>
    <mergeCell ref="I6:M6"/>
    <mergeCell ref="I7:M7"/>
    <mergeCell ref="I8:M8"/>
    <mergeCell ref="R12:R14"/>
    <mergeCell ref="S12:S14"/>
    <mergeCell ref="T12:T14"/>
    <mergeCell ref="U12:U14"/>
    <mergeCell ref="V12:V14"/>
    <mergeCell ref="W12:W14"/>
    <mergeCell ref="Y21:Y24"/>
    <mergeCell ref="B15:L15"/>
    <mergeCell ref="B16:L16"/>
    <mergeCell ref="B9:E9"/>
    <mergeCell ref="B10:L14"/>
    <mergeCell ref="M10:M14"/>
    <mergeCell ref="N10:R11"/>
    <mergeCell ref="S10:W11"/>
    <mergeCell ref="X10:X14"/>
    <mergeCell ref="Y10:Y14"/>
    <mergeCell ref="S37:S39"/>
    <mergeCell ref="T37:T39"/>
    <mergeCell ref="U37:U39"/>
    <mergeCell ref="V37:V39"/>
    <mergeCell ref="W37:W39"/>
    <mergeCell ref="X37:X39"/>
    <mergeCell ref="B38:B39"/>
    <mergeCell ref="C38:L39"/>
  </mergeCells>
  <printOptions horizontalCentered="1"/>
  <pageMargins bottom="0.75" footer="0.0" header="0.0" left="0.25" right="0.25" top="0.75"/>
  <pageSetup scale="47" orientation="landscape"/>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1.0" ySplit="15.0" topLeftCell="L16" activePane="bottomRight" state="frozen"/>
      <selection activeCell="L1" sqref="L1" pane="topRight"/>
      <selection activeCell="A16" sqref="A16" pane="bottomLeft"/>
      <selection activeCell="L16" sqref="L16" pane="bottomRight"/>
    </sheetView>
  </sheetViews>
  <sheetFormatPr customHeight="1" defaultColWidth="14.43" defaultRowHeight="15.0"/>
  <cols>
    <col customWidth="1" hidden="1" min="1" max="1" width="9.14"/>
    <col customWidth="1" min="2" max="2" width="12.0"/>
    <col customWidth="1" min="3" max="13" width="9.14"/>
    <col customWidth="1" min="14" max="14" width="14.71"/>
    <col customWidth="1" min="15" max="15" width="14.29"/>
    <col customWidth="1" min="16" max="16" width="15.0"/>
    <col customWidth="1" min="17" max="17" width="13.43"/>
    <col customWidth="1" min="18" max="18" width="18.86"/>
    <col customWidth="1" min="19" max="20" width="13.29"/>
    <col customWidth="1" min="21" max="21" width="16.29"/>
    <col customWidth="1" min="22" max="22" width="12.57"/>
    <col customWidth="1" min="23" max="23" width="20.57"/>
    <col customWidth="1" min="24" max="25" width="9.14"/>
    <col customWidth="1" min="26" max="26" width="13.43"/>
  </cols>
  <sheetData>
    <row r="1" ht="14.25" customHeight="1">
      <c r="A1" s="1"/>
      <c r="B1" s="1"/>
      <c r="C1" s="1"/>
      <c r="D1" s="1"/>
      <c r="E1" s="1"/>
      <c r="F1" s="1"/>
      <c r="G1" s="1"/>
      <c r="H1" s="1"/>
      <c r="I1" s="1"/>
      <c r="J1" s="1"/>
      <c r="K1" s="1"/>
      <c r="L1" s="1"/>
      <c r="M1" s="1"/>
      <c r="N1" s="1"/>
      <c r="O1" s="1"/>
      <c r="P1" s="1"/>
      <c r="Q1" s="1"/>
      <c r="R1" s="1"/>
      <c r="S1" s="1"/>
      <c r="T1" s="1"/>
      <c r="U1" s="1"/>
      <c r="V1" s="1"/>
      <c r="W1" s="1"/>
      <c r="X1" s="2" t="s">
        <v>0</v>
      </c>
      <c r="Y1" s="5"/>
      <c r="Z1" s="3"/>
    </row>
    <row r="2" ht="14.25" customHeight="1">
      <c r="A2" s="4" t="s">
        <v>1</v>
      </c>
      <c r="B2" s="5"/>
      <c r="C2" s="5"/>
      <c r="D2" s="5"/>
      <c r="E2" s="5"/>
      <c r="F2" s="5"/>
      <c r="G2" s="5"/>
      <c r="H2" s="5"/>
      <c r="I2" s="5"/>
      <c r="J2" s="5"/>
      <c r="K2" s="5"/>
      <c r="L2" s="5"/>
      <c r="M2" s="5"/>
      <c r="N2" s="5"/>
      <c r="O2" s="5"/>
      <c r="P2" s="5"/>
      <c r="Q2" s="5"/>
      <c r="R2" s="5"/>
      <c r="S2" s="5"/>
      <c r="T2" s="5"/>
      <c r="U2" s="5"/>
      <c r="V2" s="5"/>
      <c r="W2" s="5"/>
      <c r="X2" s="5"/>
      <c r="Y2" s="5"/>
      <c r="Z2" s="3"/>
    </row>
    <row r="3" ht="14.25" customHeight="1">
      <c r="A3" s="6" t="s">
        <v>838</v>
      </c>
      <c r="B3" s="5"/>
      <c r="C3" s="5"/>
      <c r="D3" s="5"/>
      <c r="E3" s="5"/>
      <c r="F3" s="5"/>
      <c r="G3" s="5"/>
      <c r="H3" s="5"/>
      <c r="I3" s="5"/>
      <c r="J3" s="5"/>
      <c r="K3" s="5"/>
      <c r="L3" s="5"/>
      <c r="M3" s="5"/>
      <c r="N3" s="5"/>
      <c r="O3" s="5"/>
      <c r="P3" s="5"/>
      <c r="Q3" s="5"/>
      <c r="R3" s="5"/>
      <c r="S3" s="5"/>
      <c r="T3" s="5"/>
      <c r="U3" s="5"/>
      <c r="V3" s="5"/>
      <c r="W3" s="5"/>
      <c r="X3" s="5"/>
      <c r="Y3" s="5"/>
      <c r="Z3" s="3"/>
    </row>
    <row r="4" ht="14.25" customHeight="1">
      <c r="A4" s="7"/>
      <c r="B4" s="7"/>
      <c r="C4" s="7"/>
      <c r="D4" s="7"/>
      <c r="E4" s="7"/>
      <c r="F4" s="7"/>
      <c r="G4" s="7"/>
      <c r="H4" s="7"/>
      <c r="I4" s="7"/>
      <c r="J4" s="7"/>
      <c r="K4" s="7"/>
      <c r="L4" s="7"/>
      <c r="M4" s="7"/>
      <c r="N4" s="7"/>
      <c r="O4" s="7"/>
      <c r="P4" s="7"/>
      <c r="Q4" s="7"/>
      <c r="R4" s="7"/>
      <c r="S4" s="7"/>
      <c r="T4" s="7"/>
      <c r="U4" s="7"/>
      <c r="V4" s="7"/>
      <c r="W4" s="7"/>
      <c r="X4" s="7"/>
      <c r="Y4" s="7"/>
      <c r="Z4" s="8"/>
    </row>
    <row r="5" ht="14.25" customHeight="1">
      <c r="A5" s="1"/>
      <c r="B5" s="9" t="s">
        <v>3</v>
      </c>
      <c r="C5" s="9"/>
      <c r="D5" s="9"/>
      <c r="E5" s="10"/>
      <c r="F5" s="10"/>
      <c r="G5" s="10"/>
      <c r="H5" s="11" t="s">
        <v>4</v>
      </c>
      <c r="I5" s="12" t="s">
        <v>5</v>
      </c>
      <c r="J5" s="5"/>
      <c r="K5" s="5"/>
      <c r="L5" s="5"/>
      <c r="M5" s="3"/>
      <c r="N5" s="13"/>
      <c r="O5" s="13"/>
      <c r="P5" s="13"/>
      <c r="Q5" s="13"/>
      <c r="R5" s="13"/>
      <c r="S5" s="13"/>
      <c r="T5" s="13"/>
      <c r="U5" s="14"/>
      <c r="V5" s="14"/>
      <c r="W5" s="15"/>
      <c r="X5" s="16" t="s">
        <v>6</v>
      </c>
      <c r="Y5" s="16"/>
      <c r="Z5" s="17"/>
    </row>
    <row r="6" ht="14.25" customHeight="1">
      <c r="A6" s="1"/>
      <c r="B6" s="9" t="s">
        <v>7</v>
      </c>
      <c r="C6" s="9"/>
      <c r="D6" s="9"/>
      <c r="E6" s="10"/>
      <c r="F6" s="10"/>
      <c r="G6" s="10"/>
      <c r="H6" s="11" t="s">
        <v>4</v>
      </c>
      <c r="I6" s="12"/>
      <c r="J6" s="5"/>
      <c r="K6" s="5"/>
      <c r="L6" s="5"/>
      <c r="M6" s="3"/>
      <c r="N6" s="13"/>
      <c r="O6" s="13"/>
      <c r="P6" s="13"/>
      <c r="Q6" s="13"/>
      <c r="R6" s="13"/>
      <c r="S6" s="13"/>
      <c r="T6" s="13"/>
      <c r="U6" s="14"/>
      <c r="V6" s="14"/>
      <c r="W6" s="18"/>
      <c r="X6" s="16" t="s">
        <v>8</v>
      </c>
      <c r="Y6" s="16"/>
      <c r="Z6" s="17"/>
    </row>
    <row r="7" ht="14.25" customHeight="1">
      <c r="A7" s="1"/>
      <c r="B7" s="9" t="s">
        <v>9</v>
      </c>
      <c r="C7" s="9"/>
      <c r="D7" s="9"/>
      <c r="E7" s="10"/>
      <c r="F7" s="10"/>
      <c r="G7" s="10"/>
      <c r="H7" s="11" t="s">
        <v>4</v>
      </c>
      <c r="I7" s="12"/>
      <c r="J7" s="5"/>
      <c r="K7" s="5"/>
      <c r="L7" s="5"/>
      <c r="M7" s="3"/>
      <c r="N7" s="13"/>
      <c r="O7" s="13"/>
      <c r="P7" s="13"/>
      <c r="Q7" s="13"/>
      <c r="R7" s="13"/>
      <c r="S7" s="14"/>
      <c r="T7" s="14"/>
      <c r="U7" s="14"/>
      <c r="V7" s="1"/>
      <c r="W7" s="18"/>
      <c r="X7" s="16" t="s">
        <v>10</v>
      </c>
      <c r="Y7" s="16"/>
      <c r="Z7" s="17"/>
    </row>
    <row r="8" ht="14.25" customHeight="1">
      <c r="A8" s="1"/>
      <c r="B8" s="9" t="s">
        <v>11</v>
      </c>
      <c r="C8" s="9"/>
      <c r="D8" s="9"/>
      <c r="E8" s="10"/>
      <c r="F8" s="10"/>
      <c r="G8" s="10"/>
      <c r="H8" s="11" t="s">
        <v>4</v>
      </c>
      <c r="I8" s="12"/>
      <c r="J8" s="5"/>
      <c r="K8" s="5"/>
      <c r="L8" s="5"/>
      <c r="M8" s="3"/>
      <c r="N8" s="13"/>
      <c r="O8" s="13"/>
      <c r="P8" s="13"/>
      <c r="Q8" s="13"/>
      <c r="R8" s="13"/>
      <c r="S8" s="14"/>
      <c r="T8" s="14"/>
      <c r="U8" s="14"/>
      <c r="V8" s="1"/>
      <c r="W8" s="18"/>
      <c r="X8" s="16" t="s">
        <v>12</v>
      </c>
      <c r="Y8" s="16"/>
      <c r="Z8" s="17"/>
    </row>
    <row r="9" ht="14.25" customHeight="1">
      <c r="A9" s="1"/>
      <c r="B9" s="19"/>
      <c r="C9" s="5"/>
      <c r="D9" s="5"/>
      <c r="E9" s="3"/>
      <c r="F9" s="17"/>
      <c r="G9" s="17"/>
      <c r="H9" s="17"/>
      <c r="I9" s="17"/>
      <c r="J9" s="17"/>
      <c r="K9" s="1"/>
      <c r="L9" s="1"/>
      <c r="M9" s="1"/>
      <c r="N9" s="1"/>
      <c r="O9" s="1"/>
      <c r="P9" s="1"/>
      <c r="Q9" s="1"/>
      <c r="R9" s="1"/>
      <c r="S9" s="1"/>
      <c r="T9" s="1"/>
      <c r="U9" s="14"/>
      <c r="V9" s="1"/>
      <c r="W9" s="14"/>
      <c r="X9" s="1"/>
      <c r="Y9" s="17"/>
      <c r="Z9" s="1"/>
    </row>
    <row r="10" ht="15.75" customHeight="1">
      <c r="A10" s="1"/>
      <c r="B10" s="20" t="s">
        <v>13</v>
      </c>
      <c r="C10" s="21"/>
      <c r="D10" s="21"/>
      <c r="E10" s="21"/>
      <c r="F10" s="21"/>
      <c r="G10" s="21"/>
      <c r="H10" s="21"/>
      <c r="I10" s="21"/>
      <c r="J10" s="21"/>
      <c r="K10" s="21"/>
      <c r="L10" s="22"/>
      <c r="M10" s="23" t="s">
        <v>14</v>
      </c>
      <c r="N10" s="20" t="s">
        <v>15</v>
      </c>
      <c r="O10" s="21"/>
      <c r="P10" s="21"/>
      <c r="Q10" s="21"/>
      <c r="R10" s="22"/>
      <c r="S10" s="24" t="s">
        <v>16</v>
      </c>
      <c r="T10" s="21"/>
      <c r="U10" s="21"/>
      <c r="V10" s="21"/>
      <c r="W10" s="25"/>
      <c r="X10" s="20" t="s">
        <v>839</v>
      </c>
      <c r="Y10" s="22"/>
      <c r="Z10" s="27" t="s">
        <v>18</v>
      </c>
    </row>
    <row r="11" ht="14.25" customHeight="1">
      <c r="A11" s="1"/>
      <c r="B11" s="28"/>
      <c r="L11" s="29"/>
      <c r="M11" s="30"/>
      <c r="N11" s="31"/>
      <c r="O11" s="32"/>
      <c r="P11" s="32"/>
      <c r="Q11" s="32"/>
      <c r="R11" s="33"/>
      <c r="S11" s="34"/>
      <c r="T11" s="35"/>
      <c r="U11" s="35"/>
      <c r="V11" s="35"/>
      <c r="W11" s="36"/>
      <c r="X11" s="28"/>
      <c r="Y11" s="29"/>
      <c r="Z11" s="38"/>
    </row>
    <row r="12" ht="15.75" customHeight="1">
      <c r="A12" s="1"/>
      <c r="B12" s="28"/>
      <c r="L12" s="29"/>
      <c r="M12" s="30"/>
      <c r="N12" s="39" t="s">
        <v>19</v>
      </c>
      <c r="O12" s="23" t="s">
        <v>20</v>
      </c>
      <c r="P12" s="39" t="s">
        <v>21</v>
      </c>
      <c r="Q12" s="23" t="s">
        <v>22</v>
      </c>
      <c r="R12" s="39" t="s">
        <v>23</v>
      </c>
      <c r="S12" s="23" t="s">
        <v>19</v>
      </c>
      <c r="T12" s="39" t="s">
        <v>20</v>
      </c>
      <c r="U12" s="23" t="s">
        <v>21</v>
      </c>
      <c r="V12" s="39" t="s">
        <v>22</v>
      </c>
      <c r="W12" s="23" t="s">
        <v>23</v>
      </c>
      <c r="X12" s="28"/>
      <c r="Y12" s="29"/>
      <c r="Z12" s="38"/>
    </row>
    <row r="13" ht="14.25" customHeight="1">
      <c r="A13" s="1"/>
      <c r="B13" s="28"/>
      <c r="L13" s="29"/>
      <c r="M13" s="30"/>
      <c r="N13" s="40"/>
      <c r="O13" s="30"/>
      <c r="P13" s="40"/>
      <c r="Q13" s="30"/>
      <c r="R13" s="40"/>
      <c r="S13" s="30"/>
      <c r="T13" s="40"/>
      <c r="U13" s="30"/>
      <c r="V13" s="40"/>
      <c r="W13" s="30"/>
      <c r="X13" s="28"/>
      <c r="Y13" s="29"/>
      <c r="Z13" s="38"/>
    </row>
    <row r="14" ht="14.25" customHeight="1">
      <c r="A14" s="1"/>
      <c r="B14" s="31"/>
      <c r="C14" s="32"/>
      <c r="D14" s="32"/>
      <c r="E14" s="32"/>
      <c r="F14" s="32"/>
      <c r="G14" s="32"/>
      <c r="H14" s="32"/>
      <c r="I14" s="32"/>
      <c r="J14" s="32"/>
      <c r="K14" s="32"/>
      <c r="L14" s="33"/>
      <c r="M14" s="41"/>
      <c r="N14" s="42"/>
      <c r="O14" s="41"/>
      <c r="P14" s="42"/>
      <c r="Q14" s="41"/>
      <c r="R14" s="42"/>
      <c r="S14" s="41"/>
      <c r="T14" s="42"/>
      <c r="U14" s="41"/>
      <c r="V14" s="42"/>
      <c r="W14" s="41"/>
      <c r="X14" s="31"/>
      <c r="Y14" s="33"/>
      <c r="Z14" s="44"/>
    </row>
    <row r="15" ht="14.25" customHeight="1">
      <c r="A15" s="1"/>
      <c r="B15" s="45">
        <v>1.0</v>
      </c>
      <c r="C15" s="5"/>
      <c r="D15" s="5"/>
      <c r="E15" s="5"/>
      <c r="F15" s="5"/>
      <c r="G15" s="5"/>
      <c r="H15" s="5"/>
      <c r="I15" s="5"/>
      <c r="J15" s="5"/>
      <c r="K15" s="5"/>
      <c r="L15" s="46"/>
      <c r="M15" s="47">
        <v>2.0</v>
      </c>
      <c r="N15" s="48">
        <v>3.0</v>
      </c>
      <c r="O15" s="47">
        <v>4.0</v>
      </c>
      <c r="P15" s="49">
        <v>5.0</v>
      </c>
      <c r="Q15" s="50">
        <v>6.0</v>
      </c>
      <c r="R15" s="51" t="s">
        <v>24</v>
      </c>
      <c r="S15" s="52">
        <v>8.0</v>
      </c>
      <c r="T15" s="51">
        <v>9.0</v>
      </c>
      <c r="U15" s="52">
        <v>10.0</v>
      </c>
      <c r="V15" s="51">
        <v>11.0</v>
      </c>
      <c r="W15" s="52" t="s">
        <v>25</v>
      </c>
      <c r="X15" s="543">
        <v>13.0</v>
      </c>
      <c r="Y15" s="544"/>
      <c r="Z15" s="54">
        <v>14.0</v>
      </c>
    </row>
    <row r="16" ht="14.25" customHeight="1">
      <c r="B16" s="55"/>
      <c r="L16" s="29"/>
      <c r="M16" s="56"/>
      <c r="N16" s="57"/>
      <c r="O16" s="56"/>
      <c r="P16" s="57"/>
      <c r="Q16" s="56"/>
      <c r="R16" s="57"/>
      <c r="S16" s="56"/>
      <c r="T16" s="57"/>
      <c r="U16" s="56"/>
      <c r="V16" s="57"/>
      <c r="W16" s="56"/>
      <c r="X16" s="545"/>
      <c r="Y16" s="224"/>
      <c r="Z16" s="59"/>
    </row>
    <row r="17" ht="14.25" customHeight="1">
      <c r="B17" s="60" t="s">
        <v>840</v>
      </c>
      <c r="L17" s="61"/>
      <c r="M17" s="62"/>
      <c r="N17" s="63"/>
      <c r="O17" s="62"/>
      <c r="P17" s="63"/>
      <c r="Q17" s="62"/>
      <c r="R17" s="63"/>
      <c r="S17" s="62"/>
      <c r="T17" s="63"/>
      <c r="U17" s="62"/>
      <c r="V17" s="63"/>
      <c r="W17" s="62"/>
      <c r="X17" s="117"/>
      <c r="Y17" s="173"/>
      <c r="Z17" s="65"/>
    </row>
    <row r="18" ht="14.25" customHeight="1">
      <c r="B18" s="113"/>
      <c r="L18" s="61"/>
      <c r="M18" s="62"/>
      <c r="N18" s="64"/>
      <c r="O18" s="68"/>
      <c r="P18" s="64"/>
      <c r="Q18" s="68"/>
      <c r="R18" s="64"/>
      <c r="S18" s="68"/>
      <c r="T18" s="64"/>
      <c r="U18" s="68"/>
      <c r="V18" s="64"/>
      <c r="W18" s="68"/>
      <c r="X18" s="117"/>
      <c r="Y18" s="173"/>
      <c r="Z18" s="65"/>
    </row>
    <row r="19" ht="15.0" customHeight="1">
      <c r="B19" s="69" t="s">
        <v>841</v>
      </c>
      <c r="C19" s="70"/>
      <c r="L19" s="61"/>
      <c r="M19" s="62"/>
      <c r="N19" s="71"/>
      <c r="O19" s="72"/>
      <c r="P19" s="71"/>
      <c r="Q19" s="72">
        <v>2.0</v>
      </c>
      <c r="R19" s="64">
        <f>SUM(N19:Q19)</f>
        <v>2</v>
      </c>
      <c r="S19" s="72">
        <v>5.0</v>
      </c>
      <c r="T19" s="71"/>
      <c r="U19" s="72"/>
      <c r="V19" s="71"/>
      <c r="W19" s="68">
        <f>SUM(S19:V19)</f>
        <v>5</v>
      </c>
      <c r="X19" s="546">
        <f>R19-W19</f>
        <v>-3</v>
      </c>
      <c r="Y19" s="173"/>
      <c r="Z19" s="65"/>
    </row>
    <row r="20" ht="14.25" customHeight="1">
      <c r="B20" s="547"/>
      <c r="C20" s="75"/>
      <c r="L20" s="61"/>
      <c r="M20" s="62"/>
      <c r="N20" s="71"/>
      <c r="O20" s="72"/>
      <c r="P20" s="71"/>
      <c r="Q20" s="72"/>
      <c r="R20" s="64"/>
      <c r="S20" s="72"/>
      <c r="T20" s="71"/>
      <c r="U20" s="72"/>
      <c r="V20" s="71"/>
      <c r="W20" s="68"/>
      <c r="X20" s="117"/>
      <c r="Y20" s="173"/>
      <c r="Z20" s="65"/>
    </row>
    <row r="21" ht="15.0" customHeight="1">
      <c r="B21" s="69" t="s">
        <v>842</v>
      </c>
      <c r="C21" s="70"/>
      <c r="L21" s="61"/>
      <c r="M21" s="62"/>
      <c r="N21" s="71"/>
      <c r="O21" s="72"/>
      <c r="P21" s="71"/>
      <c r="Q21" s="72"/>
      <c r="R21" s="64">
        <f>SUM(N21:Q21)</f>
        <v>0</v>
      </c>
      <c r="S21" s="72"/>
      <c r="T21" s="71"/>
      <c r="U21" s="72"/>
      <c r="V21" s="71"/>
      <c r="W21" s="68"/>
      <c r="X21" s="117"/>
      <c r="Y21" s="173"/>
      <c r="Z21" s="65"/>
    </row>
    <row r="22" ht="14.25" customHeight="1">
      <c r="B22" s="547"/>
      <c r="C22" s="75"/>
      <c r="L22" s="61"/>
      <c r="M22" s="62"/>
      <c r="N22" s="71"/>
      <c r="O22" s="72"/>
      <c r="P22" s="71"/>
      <c r="Q22" s="72"/>
      <c r="R22" s="64"/>
      <c r="S22" s="72"/>
      <c r="T22" s="71"/>
      <c r="U22" s="72"/>
      <c r="V22" s="71"/>
      <c r="W22" s="68"/>
      <c r="X22" s="117"/>
      <c r="Y22" s="173"/>
      <c r="Z22" s="65"/>
    </row>
    <row r="23" ht="14.25" customHeight="1">
      <c r="B23" s="69" t="s">
        <v>843</v>
      </c>
      <c r="C23" s="77"/>
      <c r="L23" s="61"/>
      <c r="M23" s="62"/>
      <c r="N23" s="79"/>
      <c r="O23" s="80"/>
      <c r="P23" s="79">
        <v>1.0</v>
      </c>
      <c r="Q23" s="80"/>
      <c r="R23" s="83">
        <f>SUM(N23:Q23)</f>
        <v>1</v>
      </c>
      <c r="S23" s="80"/>
      <c r="T23" s="79"/>
      <c r="U23" s="80"/>
      <c r="V23" s="79">
        <v>1.0</v>
      </c>
      <c r="W23" s="119">
        <f>SUM(S23:V23)</f>
        <v>1</v>
      </c>
      <c r="X23" s="546">
        <f>R23-W23</f>
        <v>0</v>
      </c>
      <c r="Y23" s="173"/>
      <c r="Z23" s="65"/>
    </row>
    <row r="24" ht="14.25" customHeight="1">
      <c r="B24" s="84"/>
      <c r="C24" s="548"/>
      <c r="L24" s="61"/>
      <c r="M24" s="62"/>
      <c r="N24" s="85"/>
      <c r="O24" s="86"/>
      <c r="P24" s="85"/>
      <c r="Q24" s="86"/>
      <c r="R24" s="64"/>
      <c r="S24" s="86"/>
      <c r="T24" s="85"/>
      <c r="U24" s="86"/>
      <c r="V24" s="85"/>
      <c r="W24" s="68"/>
      <c r="X24" s="117"/>
      <c r="Y24" s="173"/>
      <c r="Z24" s="65"/>
    </row>
    <row r="25" ht="14.25" customHeight="1">
      <c r="B25" s="69" t="s">
        <v>844</v>
      </c>
      <c r="C25" s="70"/>
      <c r="L25" s="61"/>
      <c r="M25" s="62"/>
      <c r="N25" s="79"/>
      <c r="O25" s="80"/>
      <c r="P25" s="79"/>
      <c r="Q25" s="80"/>
      <c r="R25" s="83">
        <f t="shared" ref="R25:R28" si="1">SUM(N25:Q25)</f>
        <v>0</v>
      </c>
      <c r="S25" s="80"/>
      <c r="T25" s="79"/>
      <c r="U25" s="80"/>
      <c r="V25" s="79"/>
      <c r="W25" s="68"/>
      <c r="X25" s="117"/>
      <c r="Y25" s="173"/>
      <c r="Z25" s="65"/>
    </row>
    <row r="26" ht="14.25" customHeight="1">
      <c r="B26" s="549" t="s">
        <v>845</v>
      </c>
      <c r="C26" s="70" t="s">
        <v>846</v>
      </c>
      <c r="L26" s="61"/>
      <c r="M26" s="62"/>
      <c r="N26" s="85"/>
      <c r="O26" s="86"/>
      <c r="P26" s="85"/>
      <c r="Q26" s="86"/>
      <c r="R26" s="83">
        <f t="shared" si="1"/>
        <v>0</v>
      </c>
      <c r="S26" s="86"/>
      <c r="T26" s="85"/>
      <c r="U26" s="86"/>
      <c r="V26" s="85"/>
      <c r="W26" s="119">
        <f t="shared" ref="W26:W27" si="2">SUM(S26:V26)</f>
        <v>0</v>
      </c>
      <c r="X26" s="546">
        <f t="shared" ref="X26:X27" si="3">R26-W26</f>
        <v>0</v>
      </c>
      <c r="Y26" s="173"/>
      <c r="Z26" s="65"/>
    </row>
    <row r="27" ht="14.25" customHeight="1">
      <c r="B27" s="550" t="s">
        <v>847</v>
      </c>
      <c r="C27" s="70" t="s">
        <v>848</v>
      </c>
      <c r="L27" s="61"/>
      <c r="M27" s="62"/>
      <c r="N27" s="85"/>
      <c r="O27" s="86"/>
      <c r="P27" s="85"/>
      <c r="Q27" s="86"/>
      <c r="R27" s="83">
        <f t="shared" si="1"/>
        <v>0</v>
      </c>
      <c r="S27" s="86"/>
      <c r="T27" s="85"/>
      <c r="U27" s="86"/>
      <c r="V27" s="85"/>
      <c r="W27" s="119">
        <f t="shared" si="2"/>
        <v>0</v>
      </c>
      <c r="X27" s="546">
        <f t="shared" si="3"/>
        <v>0</v>
      </c>
      <c r="Y27" s="173"/>
      <c r="Z27" s="65"/>
    </row>
    <row r="28" ht="14.25" customHeight="1">
      <c r="B28" s="550" t="s">
        <v>849</v>
      </c>
      <c r="C28" s="70" t="s">
        <v>850</v>
      </c>
      <c r="L28" s="61"/>
      <c r="M28" s="62"/>
      <c r="N28" s="85"/>
      <c r="O28" s="86"/>
      <c r="P28" s="85"/>
      <c r="Q28" s="86"/>
      <c r="R28" s="83">
        <f t="shared" si="1"/>
        <v>0</v>
      </c>
      <c r="S28" s="86"/>
      <c r="T28" s="85"/>
      <c r="U28" s="86"/>
      <c r="V28" s="85"/>
      <c r="W28" s="68"/>
      <c r="X28" s="117"/>
      <c r="Y28" s="173"/>
      <c r="Z28" s="65"/>
    </row>
    <row r="29" ht="14.25" customHeight="1">
      <c r="B29" s="550"/>
      <c r="C29" s="70"/>
      <c r="L29" s="61"/>
      <c r="M29" s="62"/>
      <c r="N29" s="85"/>
      <c r="O29" s="86"/>
      <c r="P29" s="85"/>
      <c r="Q29" s="86"/>
      <c r="R29" s="64"/>
      <c r="S29" s="86"/>
      <c r="T29" s="85"/>
      <c r="U29" s="86"/>
      <c r="V29" s="85"/>
      <c r="W29" s="68"/>
      <c r="X29" s="117"/>
      <c r="Y29" s="173"/>
      <c r="Z29" s="65"/>
    </row>
    <row r="30" ht="14.25" customHeight="1">
      <c r="B30" s="550" t="s">
        <v>851</v>
      </c>
      <c r="C30" s="70"/>
      <c r="L30" s="61"/>
      <c r="M30" s="62"/>
      <c r="N30" s="85"/>
      <c r="O30" s="86"/>
      <c r="P30" s="85"/>
      <c r="Q30" s="86">
        <v>2.0</v>
      </c>
      <c r="R30" s="83">
        <f>SUM(N30:Q30)</f>
        <v>2</v>
      </c>
      <c r="S30" s="86"/>
      <c r="T30" s="85">
        <v>4.0</v>
      </c>
      <c r="U30" s="86">
        <v>1.0</v>
      </c>
      <c r="V30" s="85">
        <v>2.0</v>
      </c>
      <c r="W30" s="119">
        <f>SUM(S30:V30)</f>
        <v>7</v>
      </c>
      <c r="X30" s="546">
        <f>R30-W30</f>
        <v>-5</v>
      </c>
      <c r="Y30" s="173"/>
      <c r="Z30" s="65"/>
    </row>
    <row r="31" ht="14.25" customHeight="1">
      <c r="B31" s="113"/>
      <c r="L31" s="61"/>
      <c r="M31" s="62"/>
      <c r="N31" s="64"/>
      <c r="O31" s="68"/>
      <c r="P31" s="64"/>
      <c r="Q31" s="68"/>
      <c r="R31" s="64"/>
      <c r="S31" s="68"/>
      <c r="T31" s="64"/>
      <c r="U31" s="68"/>
      <c r="V31" s="64"/>
      <c r="W31" s="68"/>
      <c r="X31" s="117"/>
      <c r="Y31" s="173"/>
      <c r="Z31" s="65"/>
    </row>
    <row r="32" ht="14.25" customHeight="1">
      <c r="B32" s="60" t="s">
        <v>852</v>
      </c>
      <c r="L32" s="61"/>
      <c r="M32" s="62"/>
      <c r="N32" s="64"/>
      <c r="O32" s="68"/>
      <c r="P32" s="64"/>
      <c r="Q32" s="68"/>
      <c r="R32" s="64">
        <f>SUM(N32:Q32)</f>
        <v>0</v>
      </c>
      <c r="S32" s="68"/>
      <c r="T32" s="64"/>
      <c r="U32" s="68"/>
      <c r="V32" s="64"/>
      <c r="W32" s="68"/>
      <c r="X32" s="117"/>
      <c r="Y32" s="173"/>
      <c r="Z32" s="65"/>
    </row>
    <row r="33" ht="14.25" customHeight="1">
      <c r="B33" s="113"/>
      <c r="L33" s="61"/>
      <c r="M33" s="62"/>
      <c r="N33" s="64"/>
      <c r="O33" s="68"/>
      <c r="P33" s="64"/>
      <c r="Q33" s="68"/>
      <c r="R33" s="64"/>
      <c r="S33" s="68"/>
      <c r="T33" s="64"/>
      <c r="U33" s="68"/>
      <c r="V33" s="64"/>
      <c r="W33" s="68"/>
      <c r="X33" s="117"/>
      <c r="Y33" s="173"/>
      <c r="Z33" s="65"/>
    </row>
    <row r="34" ht="14.25" customHeight="1">
      <c r="B34" s="69" t="s">
        <v>853</v>
      </c>
      <c r="C34" s="70"/>
      <c r="L34" s="61"/>
      <c r="M34" s="62"/>
      <c r="N34" s="85"/>
      <c r="O34" s="68"/>
      <c r="P34" s="85"/>
      <c r="Q34" s="86"/>
      <c r="R34" s="83">
        <f>SUM(N34:Q34)</f>
        <v>0</v>
      </c>
      <c r="S34" s="86"/>
      <c r="T34" s="85"/>
      <c r="U34" s="86"/>
      <c r="V34" s="85"/>
      <c r="W34" s="119">
        <f>SUM(S34:V34)</f>
        <v>0</v>
      </c>
      <c r="X34" s="546">
        <f>R34-W34</f>
        <v>0</v>
      </c>
      <c r="Y34" s="173"/>
      <c r="Z34" s="65"/>
    </row>
    <row r="35" ht="14.25" customHeight="1">
      <c r="B35" s="100"/>
      <c r="C35" s="70"/>
      <c r="L35" s="61"/>
      <c r="M35" s="62"/>
      <c r="N35" s="85"/>
      <c r="O35" s="68"/>
      <c r="P35" s="85"/>
      <c r="Q35" s="86"/>
      <c r="R35" s="64"/>
      <c r="S35" s="86"/>
      <c r="T35" s="85"/>
      <c r="U35" s="86"/>
      <c r="V35" s="85"/>
      <c r="W35" s="68"/>
      <c r="X35" s="117"/>
      <c r="Y35" s="173"/>
      <c r="Z35" s="65"/>
    </row>
    <row r="36" ht="14.25" customHeight="1">
      <c r="B36" s="69" t="s">
        <v>854</v>
      </c>
      <c r="C36" s="70"/>
      <c r="L36" s="61"/>
      <c r="M36" s="62"/>
      <c r="N36" s="79"/>
      <c r="O36" s="68"/>
      <c r="P36" s="79"/>
      <c r="Q36" s="80"/>
      <c r="R36" s="83">
        <f t="shared" ref="R36:R42" si="4">SUM(N36:Q36)</f>
        <v>0</v>
      </c>
      <c r="S36" s="80"/>
      <c r="T36" s="79"/>
      <c r="U36" s="80"/>
      <c r="V36" s="79"/>
      <c r="W36" s="68"/>
      <c r="X36" s="117"/>
      <c r="Y36" s="173"/>
      <c r="Z36" s="65"/>
    </row>
    <row r="37" ht="14.25" customHeight="1">
      <c r="B37" s="100" t="s">
        <v>845</v>
      </c>
      <c r="C37" s="126" t="s">
        <v>855</v>
      </c>
      <c r="L37" s="61"/>
      <c r="M37" s="62"/>
      <c r="N37" s="85"/>
      <c r="O37" s="68"/>
      <c r="P37" s="85"/>
      <c r="Q37" s="86"/>
      <c r="R37" s="83">
        <f t="shared" si="4"/>
        <v>0</v>
      </c>
      <c r="S37" s="86"/>
      <c r="T37" s="85"/>
      <c r="U37" s="86"/>
      <c r="V37" s="85"/>
      <c r="W37" s="68"/>
      <c r="X37" s="117"/>
      <c r="Y37" s="173"/>
      <c r="Z37" s="65"/>
    </row>
    <row r="38" ht="14.25" customHeight="1">
      <c r="B38" s="100" t="s">
        <v>847</v>
      </c>
      <c r="C38" s="77" t="s">
        <v>856</v>
      </c>
      <c r="L38" s="61"/>
      <c r="M38" s="62"/>
      <c r="N38" s="85">
        <v>4.0</v>
      </c>
      <c r="O38" s="68"/>
      <c r="P38" s="85"/>
      <c r="Q38" s="86"/>
      <c r="R38" s="83">
        <f t="shared" si="4"/>
        <v>4</v>
      </c>
      <c r="S38" s="86">
        <v>4.0</v>
      </c>
      <c r="T38" s="85">
        <v>4.0</v>
      </c>
      <c r="U38" s="86">
        <v>5.0</v>
      </c>
      <c r="V38" s="85">
        <v>5.0</v>
      </c>
      <c r="W38" s="119">
        <f>SUM(S38:V38)</f>
        <v>18</v>
      </c>
      <c r="X38" s="546">
        <f>R38-W38</f>
        <v>-14</v>
      </c>
      <c r="Y38" s="173"/>
      <c r="Z38" s="65"/>
    </row>
    <row r="39" ht="14.25" customHeight="1">
      <c r="B39" s="100" t="s">
        <v>849</v>
      </c>
      <c r="C39" s="77" t="s">
        <v>857</v>
      </c>
      <c r="L39" s="61"/>
      <c r="M39" s="62"/>
      <c r="N39" s="85"/>
      <c r="O39" s="68"/>
      <c r="P39" s="85"/>
      <c r="Q39" s="86"/>
      <c r="R39" s="83">
        <f t="shared" si="4"/>
        <v>0</v>
      </c>
      <c r="S39" s="551"/>
      <c r="T39" s="85"/>
      <c r="U39" s="551"/>
      <c r="V39" s="552"/>
      <c r="W39" s="62"/>
      <c r="X39" s="117"/>
      <c r="Y39" s="173"/>
      <c r="Z39" s="65"/>
    </row>
    <row r="40" ht="14.25" customHeight="1">
      <c r="B40" s="100" t="s">
        <v>858</v>
      </c>
      <c r="C40" s="126" t="s">
        <v>859</v>
      </c>
      <c r="L40" s="61"/>
      <c r="M40" s="62"/>
      <c r="N40" s="85"/>
      <c r="O40" s="68"/>
      <c r="P40" s="85"/>
      <c r="Q40" s="86"/>
      <c r="R40" s="83">
        <f t="shared" si="4"/>
        <v>0</v>
      </c>
      <c r="S40" s="551"/>
      <c r="T40" s="85"/>
      <c r="U40" s="551"/>
      <c r="V40" s="552"/>
      <c r="W40" s="62"/>
      <c r="X40" s="117"/>
      <c r="Y40" s="173"/>
      <c r="Z40" s="65"/>
    </row>
    <row r="41" ht="14.25" customHeight="1">
      <c r="B41" s="100" t="s">
        <v>860</v>
      </c>
      <c r="C41" s="126" t="s">
        <v>861</v>
      </c>
      <c r="L41" s="61"/>
      <c r="M41" s="62"/>
      <c r="N41" s="85"/>
      <c r="O41" s="68"/>
      <c r="P41" s="85"/>
      <c r="Q41" s="86"/>
      <c r="R41" s="83">
        <f t="shared" si="4"/>
        <v>0</v>
      </c>
      <c r="S41" s="551"/>
      <c r="T41" s="85"/>
      <c r="U41" s="551"/>
      <c r="V41" s="552"/>
      <c r="W41" s="119">
        <f t="shared" ref="W41:W42" si="5">SUM(S41:V41)</f>
        <v>0</v>
      </c>
      <c r="X41" s="546">
        <f t="shared" ref="X41:X42" si="6">R41-W41</f>
        <v>0</v>
      </c>
      <c r="Y41" s="173"/>
      <c r="Z41" s="65"/>
    </row>
    <row r="42" ht="14.25" customHeight="1">
      <c r="B42" s="100" t="s">
        <v>862</v>
      </c>
      <c r="C42" s="137" t="s">
        <v>863</v>
      </c>
      <c r="L42" s="61"/>
      <c r="M42" s="62"/>
      <c r="N42" s="64">
        <v>3.0</v>
      </c>
      <c r="O42" s="68">
        <v>3.0</v>
      </c>
      <c r="P42" s="64">
        <v>3.0</v>
      </c>
      <c r="Q42" s="68">
        <v>3.0</v>
      </c>
      <c r="R42" s="64">
        <f t="shared" si="4"/>
        <v>12</v>
      </c>
      <c r="S42" s="68">
        <v>2.0</v>
      </c>
      <c r="T42" s="64">
        <v>2.0</v>
      </c>
      <c r="U42" s="68">
        <v>2.0</v>
      </c>
      <c r="V42" s="64">
        <v>3.0</v>
      </c>
      <c r="W42" s="68">
        <f t="shared" si="5"/>
        <v>9</v>
      </c>
      <c r="X42" s="546">
        <f t="shared" si="6"/>
        <v>3</v>
      </c>
      <c r="Y42" s="173"/>
      <c r="Z42" s="65"/>
    </row>
    <row r="43" ht="14.25" customHeight="1">
      <c r="B43" s="60"/>
      <c r="L43" s="61"/>
      <c r="M43" s="62"/>
      <c r="N43" s="64"/>
      <c r="O43" s="68"/>
      <c r="P43" s="64"/>
      <c r="Q43" s="68"/>
      <c r="R43" s="64"/>
      <c r="S43" s="62"/>
      <c r="T43" s="64"/>
      <c r="U43" s="62"/>
      <c r="V43" s="63"/>
      <c r="W43" s="62"/>
      <c r="X43" s="117"/>
      <c r="Y43" s="173"/>
      <c r="Z43" s="65"/>
    </row>
    <row r="44" ht="14.25" customHeight="1">
      <c r="B44" s="113"/>
      <c r="L44" s="61"/>
      <c r="M44" s="62"/>
      <c r="N44" s="64"/>
      <c r="O44" s="68"/>
      <c r="P44" s="64"/>
      <c r="Q44" s="68"/>
      <c r="R44" s="64"/>
      <c r="S44" s="62"/>
      <c r="T44" s="64"/>
      <c r="U44" s="62"/>
      <c r="V44" s="63"/>
      <c r="W44" s="62"/>
      <c r="X44" s="117"/>
      <c r="Y44" s="173"/>
      <c r="Z44" s="65"/>
    </row>
    <row r="45" ht="14.25" customHeight="1">
      <c r="B45" s="148" t="s">
        <v>864</v>
      </c>
      <c r="C45" s="144" t="s">
        <v>865</v>
      </c>
      <c r="D45" s="143"/>
      <c r="E45" s="143"/>
      <c r="L45" s="61"/>
      <c r="M45" s="62"/>
      <c r="N45" s="63">
        <v>425.0</v>
      </c>
      <c r="O45" s="62">
        <v>425.0</v>
      </c>
      <c r="P45" s="63">
        <v>425.0</v>
      </c>
      <c r="Q45" s="62">
        <v>425.0</v>
      </c>
      <c r="R45" s="64">
        <f t="shared" ref="R45:R46" si="8">SUM(N45:Q45)</f>
        <v>1700</v>
      </c>
      <c r="S45" s="553">
        <f t="shared" ref="S45:V45" si="7">SUM(S46,S100)</f>
        <v>401</v>
      </c>
      <c r="T45" s="524">
        <f t="shared" si="7"/>
        <v>407</v>
      </c>
      <c r="U45" s="553">
        <f t="shared" si="7"/>
        <v>233</v>
      </c>
      <c r="V45" s="524">
        <f t="shared" si="7"/>
        <v>294</v>
      </c>
      <c r="W45" s="68">
        <f t="shared" ref="W45:W98" si="9">SUM(S45:V45)</f>
        <v>1335</v>
      </c>
      <c r="X45" s="117">
        <f t="shared" ref="X45:X46" si="10">R45-W45</f>
        <v>365</v>
      </c>
      <c r="Y45" s="173"/>
      <c r="Z45" s="65"/>
    </row>
    <row r="46" ht="14.25" customHeight="1">
      <c r="B46" s="148"/>
      <c r="C46" s="214" t="s">
        <v>866</v>
      </c>
      <c r="D46" s="144" t="s">
        <v>867</v>
      </c>
      <c r="E46" s="144"/>
      <c r="L46" s="61"/>
      <c r="M46" s="62"/>
      <c r="N46" s="63">
        <v>300.0</v>
      </c>
      <c r="O46" s="62">
        <v>300.0</v>
      </c>
      <c r="P46" s="63">
        <v>300.0</v>
      </c>
      <c r="Q46" s="62">
        <v>300.0</v>
      </c>
      <c r="R46" s="64">
        <f t="shared" si="8"/>
        <v>1200</v>
      </c>
      <c r="S46" s="553">
        <v>111.0</v>
      </c>
      <c r="T46" s="524">
        <v>97.0</v>
      </c>
      <c r="U46" s="553">
        <v>75.0</v>
      </c>
      <c r="V46" s="524">
        <v>48.0</v>
      </c>
      <c r="W46" s="68">
        <f t="shared" si="9"/>
        <v>331</v>
      </c>
      <c r="X46" s="117">
        <f t="shared" si="10"/>
        <v>869</v>
      </c>
      <c r="Y46" s="173"/>
      <c r="Z46" s="65"/>
    </row>
    <row r="47" ht="14.25" customHeight="1">
      <c r="B47" s="148"/>
      <c r="C47" s="70"/>
      <c r="D47" s="77" t="s">
        <v>868</v>
      </c>
      <c r="E47" s="70"/>
      <c r="L47" s="61"/>
      <c r="M47" s="62"/>
      <c r="N47" s="63"/>
      <c r="O47" s="62"/>
      <c r="P47" s="63"/>
      <c r="Q47" s="62"/>
      <c r="R47" s="149"/>
      <c r="S47" s="68">
        <v>0.0</v>
      </c>
      <c r="T47" s="64">
        <v>0.0</v>
      </c>
      <c r="U47" s="68">
        <v>0.0</v>
      </c>
      <c r="V47" s="64">
        <v>0.0</v>
      </c>
      <c r="W47" s="68">
        <f t="shared" si="9"/>
        <v>0</v>
      </c>
      <c r="X47" s="117"/>
      <c r="Y47" s="173"/>
      <c r="Z47" s="65"/>
    </row>
    <row r="48" ht="14.25" customHeight="1">
      <c r="B48" s="148"/>
      <c r="C48" s="70"/>
      <c r="D48" s="77" t="s">
        <v>869</v>
      </c>
      <c r="E48" s="70"/>
      <c r="L48" s="61"/>
      <c r="M48" s="62"/>
      <c r="N48" s="63"/>
      <c r="O48" s="62"/>
      <c r="P48" s="63"/>
      <c r="Q48" s="62"/>
      <c r="R48" s="149"/>
      <c r="S48" s="68">
        <v>13.0</v>
      </c>
      <c r="T48" s="64">
        <v>14.0</v>
      </c>
      <c r="U48" s="68">
        <v>6.0</v>
      </c>
      <c r="V48" s="64">
        <v>11.0</v>
      </c>
      <c r="W48" s="68">
        <f t="shared" si="9"/>
        <v>44</v>
      </c>
      <c r="X48" s="117"/>
      <c r="Y48" s="173"/>
      <c r="Z48" s="65"/>
    </row>
    <row r="49" ht="14.25" customHeight="1">
      <c r="B49" s="148"/>
      <c r="C49" s="70"/>
      <c r="D49" s="77" t="s">
        <v>870</v>
      </c>
      <c r="E49" s="70"/>
      <c r="L49" s="61"/>
      <c r="M49" s="62"/>
      <c r="N49" s="63"/>
      <c r="O49" s="62"/>
      <c r="P49" s="63"/>
      <c r="Q49" s="62"/>
      <c r="R49" s="149"/>
      <c r="S49" s="68">
        <v>14.0</v>
      </c>
      <c r="T49" s="64">
        <v>16.0</v>
      </c>
      <c r="U49" s="68">
        <v>9.0</v>
      </c>
      <c r="V49" s="64">
        <v>12.0</v>
      </c>
      <c r="W49" s="68">
        <f t="shared" si="9"/>
        <v>51</v>
      </c>
      <c r="X49" s="117"/>
      <c r="Y49" s="173"/>
      <c r="Z49" s="65"/>
    </row>
    <row r="50" ht="14.25" customHeight="1">
      <c r="B50" s="148"/>
      <c r="C50" s="70"/>
      <c r="D50" s="77" t="s">
        <v>871</v>
      </c>
      <c r="E50" s="70"/>
      <c r="L50" s="61"/>
      <c r="M50" s="62"/>
      <c r="N50" s="63"/>
      <c r="O50" s="62"/>
      <c r="P50" s="63"/>
      <c r="Q50" s="62"/>
      <c r="R50" s="149"/>
      <c r="S50" s="68">
        <v>27.0</v>
      </c>
      <c r="T50" s="64">
        <v>18.0</v>
      </c>
      <c r="U50" s="68">
        <v>29.0</v>
      </c>
      <c r="V50" s="64">
        <v>11.0</v>
      </c>
      <c r="W50" s="68">
        <f t="shared" si="9"/>
        <v>85</v>
      </c>
      <c r="X50" s="117"/>
      <c r="Y50" s="173"/>
      <c r="Z50" s="65"/>
    </row>
    <row r="51" ht="14.25" customHeight="1">
      <c r="B51" s="148"/>
      <c r="C51" s="70"/>
      <c r="D51" s="77" t="s">
        <v>872</v>
      </c>
      <c r="E51" s="70"/>
      <c r="L51" s="61"/>
      <c r="M51" s="62"/>
      <c r="N51" s="63"/>
      <c r="O51" s="62"/>
      <c r="P51" s="63"/>
      <c r="Q51" s="62"/>
      <c r="R51" s="149"/>
      <c r="S51" s="68">
        <v>50.0</v>
      </c>
      <c r="T51" s="64">
        <v>17.0</v>
      </c>
      <c r="U51" s="68">
        <v>31.0</v>
      </c>
      <c r="V51" s="64">
        <v>14.0</v>
      </c>
      <c r="W51" s="68">
        <f t="shared" si="9"/>
        <v>112</v>
      </c>
      <c r="X51" s="117"/>
      <c r="Y51" s="173"/>
      <c r="Z51" s="65"/>
    </row>
    <row r="52" ht="14.25" customHeight="1">
      <c r="B52" s="148"/>
      <c r="C52" s="70"/>
      <c r="D52" s="77" t="s">
        <v>873</v>
      </c>
      <c r="E52" s="70"/>
      <c r="L52" s="61"/>
      <c r="M52" s="62"/>
      <c r="N52" s="63"/>
      <c r="O52" s="62"/>
      <c r="P52" s="63"/>
      <c r="Q52" s="62"/>
      <c r="R52" s="149"/>
      <c r="S52" s="68">
        <v>7.0</v>
      </c>
      <c r="T52" s="64">
        <v>32.0</v>
      </c>
      <c r="U52" s="68">
        <v>0.0</v>
      </c>
      <c r="V52" s="64">
        <v>0.0</v>
      </c>
      <c r="W52" s="68">
        <f t="shared" si="9"/>
        <v>39</v>
      </c>
      <c r="X52" s="117"/>
      <c r="Y52" s="173"/>
      <c r="Z52" s="65"/>
    </row>
    <row r="53" ht="14.25" customHeight="1">
      <c r="B53" s="148"/>
      <c r="C53" s="144"/>
      <c r="D53" s="144" t="s">
        <v>874</v>
      </c>
      <c r="L53" s="61"/>
      <c r="M53" s="62"/>
      <c r="N53" s="63"/>
      <c r="O53" s="62"/>
      <c r="P53" s="63"/>
      <c r="Q53" s="62"/>
      <c r="R53" s="149"/>
      <c r="S53" s="68">
        <v>30.0</v>
      </c>
      <c r="T53" s="64">
        <v>31.0</v>
      </c>
      <c r="U53" s="68">
        <v>0.0</v>
      </c>
      <c r="V53" s="64">
        <v>31.0</v>
      </c>
      <c r="W53" s="68">
        <f t="shared" si="9"/>
        <v>92</v>
      </c>
      <c r="X53" s="117"/>
      <c r="Y53" s="173"/>
      <c r="Z53" s="65"/>
    </row>
    <row r="54" ht="14.25" customHeight="1">
      <c r="B54" s="148"/>
      <c r="C54" s="144"/>
      <c r="D54" s="144" t="s">
        <v>875</v>
      </c>
      <c r="L54" s="61"/>
      <c r="M54" s="62"/>
      <c r="N54" s="63"/>
      <c r="O54" s="62"/>
      <c r="P54" s="63"/>
      <c r="Q54" s="62"/>
      <c r="R54" s="149"/>
      <c r="S54" s="68">
        <v>5.0</v>
      </c>
      <c r="T54" s="64">
        <v>5.0</v>
      </c>
      <c r="U54" s="68">
        <v>1.0</v>
      </c>
      <c r="V54" s="64">
        <v>1.0</v>
      </c>
      <c r="W54" s="68">
        <f t="shared" si="9"/>
        <v>12</v>
      </c>
      <c r="X54" s="117"/>
      <c r="Y54" s="173"/>
      <c r="Z54" s="65"/>
    </row>
    <row r="55" ht="14.25" customHeight="1">
      <c r="B55" s="148" t="s">
        <v>403</v>
      </c>
      <c r="C55" s="144"/>
      <c r="D55" s="144" t="s">
        <v>876</v>
      </c>
      <c r="L55" s="61"/>
      <c r="M55" s="62"/>
      <c r="N55" s="63"/>
      <c r="O55" s="62"/>
      <c r="P55" s="63"/>
      <c r="Q55" s="62"/>
      <c r="R55" s="149"/>
      <c r="S55" s="68">
        <v>0.0</v>
      </c>
      <c r="T55" s="64">
        <v>1.0</v>
      </c>
      <c r="U55" s="68">
        <v>0.0</v>
      </c>
      <c r="V55" s="64">
        <v>0.0</v>
      </c>
      <c r="W55" s="68">
        <f t="shared" si="9"/>
        <v>1</v>
      </c>
      <c r="X55" s="117"/>
      <c r="Y55" s="173"/>
      <c r="Z55" s="65"/>
    </row>
    <row r="56" ht="14.25" customHeight="1">
      <c r="B56" s="148" t="s">
        <v>403</v>
      </c>
      <c r="C56" s="144"/>
      <c r="D56" s="144" t="s">
        <v>877</v>
      </c>
      <c r="L56" s="61"/>
      <c r="M56" s="62"/>
      <c r="N56" s="63"/>
      <c r="O56" s="62"/>
      <c r="P56" s="63"/>
      <c r="Q56" s="62"/>
      <c r="R56" s="149"/>
      <c r="S56" s="553">
        <v>56.0</v>
      </c>
      <c r="T56" s="524">
        <v>55.0</v>
      </c>
      <c r="U56" s="553">
        <v>47.0</v>
      </c>
      <c r="V56" s="524">
        <v>7.0</v>
      </c>
      <c r="W56" s="68">
        <f t="shared" si="9"/>
        <v>165</v>
      </c>
      <c r="X56" s="117"/>
      <c r="Y56" s="173"/>
      <c r="Z56" s="65"/>
    </row>
    <row r="57" ht="14.25" customHeight="1">
      <c r="B57" s="148"/>
      <c r="C57" s="144"/>
      <c r="D57" s="154" t="s">
        <v>878</v>
      </c>
      <c r="L57" s="61"/>
      <c r="M57" s="62"/>
      <c r="N57" s="63"/>
      <c r="O57" s="62"/>
      <c r="P57" s="63"/>
      <c r="Q57" s="62"/>
      <c r="R57" s="149"/>
      <c r="S57" s="68">
        <v>47.0</v>
      </c>
      <c r="T57" s="64">
        <v>45.0</v>
      </c>
      <c r="U57" s="68">
        <v>35.0</v>
      </c>
      <c r="V57" s="64">
        <v>5.0</v>
      </c>
      <c r="W57" s="68">
        <f t="shared" si="9"/>
        <v>132</v>
      </c>
      <c r="X57" s="117"/>
      <c r="Y57" s="173"/>
      <c r="Z57" s="65"/>
    </row>
    <row r="58" ht="14.25" customHeight="1">
      <c r="B58" s="148"/>
      <c r="C58" s="144"/>
      <c r="D58" s="154" t="s">
        <v>879</v>
      </c>
      <c r="L58" s="61"/>
      <c r="M58" s="62"/>
      <c r="N58" s="63"/>
      <c r="O58" s="62"/>
      <c r="P58" s="63"/>
      <c r="Q58" s="62"/>
      <c r="R58" s="149"/>
      <c r="S58" s="68">
        <v>9.0</v>
      </c>
      <c r="T58" s="64">
        <v>10.0</v>
      </c>
      <c r="U58" s="68">
        <v>11.0</v>
      </c>
      <c r="V58" s="64">
        <v>1.0</v>
      </c>
      <c r="W58" s="68">
        <f t="shared" si="9"/>
        <v>31</v>
      </c>
      <c r="X58" s="117"/>
      <c r="Y58" s="173"/>
      <c r="Z58" s="65"/>
    </row>
    <row r="59" ht="14.25" customHeight="1">
      <c r="B59" s="148"/>
      <c r="C59" s="144"/>
      <c r="D59" s="154" t="s">
        <v>880</v>
      </c>
      <c r="L59" s="61"/>
      <c r="M59" s="62"/>
      <c r="N59" s="63"/>
      <c r="O59" s="62"/>
      <c r="P59" s="63"/>
      <c r="Q59" s="62"/>
      <c r="R59" s="149"/>
      <c r="S59" s="68">
        <v>0.0</v>
      </c>
      <c r="T59" s="64">
        <v>0.0</v>
      </c>
      <c r="U59" s="68">
        <v>1.0</v>
      </c>
      <c r="V59" s="64">
        <v>1.0</v>
      </c>
      <c r="W59" s="68">
        <f t="shared" si="9"/>
        <v>2</v>
      </c>
      <c r="X59" s="117"/>
      <c r="Y59" s="173"/>
      <c r="Z59" s="65"/>
    </row>
    <row r="60" ht="14.25" customHeight="1">
      <c r="B60" s="148"/>
      <c r="C60" s="144"/>
      <c r="D60" s="144" t="s">
        <v>881</v>
      </c>
      <c r="L60" s="61"/>
      <c r="M60" s="62"/>
      <c r="N60" s="63"/>
      <c r="O60" s="62"/>
      <c r="P60" s="63"/>
      <c r="Q60" s="62"/>
      <c r="R60" s="149"/>
      <c r="S60" s="68">
        <v>1.0</v>
      </c>
      <c r="T60" s="64">
        <v>1.0</v>
      </c>
      <c r="U60" s="68">
        <v>0.0</v>
      </c>
      <c r="V60" s="64">
        <v>1.0</v>
      </c>
      <c r="W60" s="68">
        <f t="shared" si="9"/>
        <v>3</v>
      </c>
      <c r="X60" s="117"/>
      <c r="Y60" s="173"/>
      <c r="Z60" s="65"/>
    </row>
    <row r="61" ht="14.25" customHeight="1">
      <c r="B61" s="148"/>
      <c r="C61" s="144"/>
      <c r="D61" s="154" t="s">
        <v>882</v>
      </c>
      <c r="L61" s="61"/>
      <c r="M61" s="62"/>
      <c r="N61" s="63"/>
      <c r="O61" s="62"/>
      <c r="P61" s="63"/>
      <c r="Q61" s="62"/>
      <c r="R61" s="149"/>
      <c r="S61" s="68">
        <v>0.0</v>
      </c>
      <c r="T61" s="64">
        <v>0.0</v>
      </c>
      <c r="U61" s="68">
        <v>0.0</v>
      </c>
      <c r="V61" s="64">
        <v>0.0</v>
      </c>
      <c r="W61" s="68">
        <f t="shared" si="9"/>
        <v>0</v>
      </c>
      <c r="X61" s="117"/>
      <c r="Y61" s="173"/>
      <c r="Z61" s="65"/>
    </row>
    <row r="62" ht="14.25" customHeight="1">
      <c r="B62" s="148"/>
      <c r="C62" s="144"/>
      <c r="D62" s="154" t="s">
        <v>883</v>
      </c>
      <c r="L62" s="61"/>
      <c r="M62" s="62"/>
      <c r="N62" s="63"/>
      <c r="O62" s="62"/>
      <c r="P62" s="63"/>
      <c r="Q62" s="62"/>
      <c r="R62" s="149"/>
      <c r="S62" s="68">
        <v>0.0</v>
      </c>
      <c r="T62" s="64">
        <v>0.0</v>
      </c>
      <c r="U62" s="68">
        <v>0.0</v>
      </c>
      <c r="V62" s="64">
        <v>0.0</v>
      </c>
      <c r="W62" s="68">
        <f t="shared" si="9"/>
        <v>0</v>
      </c>
      <c r="X62" s="117"/>
      <c r="Y62" s="173"/>
      <c r="Z62" s="65"/>
    </row>
    <row r="63" ht="14.25" customHeight="1">
      <c r="B63" s="148"/>
      <c r="C63" s="144"/>
      <c r="D63" s="154" t="s">
        <v>884</v>
      </c>
      <c r="L63" s="61"/>
      <c r="M63" s="62"/>
      <c r="N63" s="63"/>
      <c r="O63" s="62"/>
      <c r="P63" s="63"/>
      <c r="Q63" s="62"/>
      <c r="R63" s="149"/>
      <c r="S63" s="68">
        <v>0.0</v>
      </c>
      <c r="T63" s="64">
        <v>0.0</v>
      </c>
      <c r="U63" s="68">
        <v>0.0</v>
      </c>
      <c r="V63" s="64">
        <v>1.0</v>
      </c>
      <c r="W63" s="68">
        <f t="shared" si="9"/>
        <v>1</v>
      </c>
      <c r="X63" s="117"/>
      <c r="Y63" s="173"/>
      <c r="Z63" s="65"/>
    </row>
    <row r="64" ht="14.25" customHeight="1">
      <c r="B64" s="148"/>
      <c r="C64" s="144"/>
      <c r="D64" s="154" t="s">
        <v>885</v>
      </c>
      <c r="L64" s="61"/>
      <c r="M64" s="62"/>
      <c r="N64" s="63"/>
      <c r="O64" s="62"/>
      <c r="P64" s="63"/>
      <c r="Q64" s="62"/>
      <c r="R64" s="149"/>
      <c r="S64" s="68">
        <v>0.0</v>
      </c>
      <c r="T64" s="64">
        <v>1.0</v>
      </c>
      <c r="U64" s="68">
        <v>0.0</v>
      </c>
      <c r="V64" s="64">
        <v>0.0</v>
      </c>
      <c r="W64" s="68">
        <f t="shared" si="9"/>
        <v>1</v>
      </c>
      <c r="X64" s="117"/>
      <c r="Y64" s="173"/>
      <c r="Z64" s="65"/>
    </row>
    <row r="65" ht="14.25" customHeight="1">
      <c r="B65" s="148"/>
      <c r="C65" s="144"/>
      <c r="D65" s="154" t="s">
        <v>886</v>
      </c>
      <c r="L65" s="61"/>
      <c r="M65" s="62"/>
      <c r="N65" s="63"/>
      <c r="O65" s="62"/>
      <c r="P65" s="63"/>
      <c r="Q65" s="62"/>
      <c r="R65" s="149"/>
      <c r="S65" s="68">
        <v>1.0</v>
      </c>
      <c r="T65" s="64">
        <v>0.0</v>
      </c>
      <c r="U65" s="68">
        <v>0.0</v>
      </c>
      <c r="V65" s="64">
        <v>0.0</v>
      </c>
      <c r="W65" s="68">
        <f t="shared" si="9"/>
        <v>1</v>
      </c>
      <c r="X65" s="117"/>
      <c r="Y65" s="173"/>
      <c r="Z65" s="65"/>
    </row>
    <row r="66" ht="14.25" customHeight="1">
      <c r="B66" s="148"/>
      <c r="C66" s="144"/>
      <c r="D66" s="144" t="s">
        <v>887</v>
      </c>
      <c r="L66" s="61"/>
      <c r="M66" s="62"/>
      <c r="N66" s="63"/>
      <c r="O66" s="62"/>
      <c r="P66" s="63"/>
      <c r="Q66" s="62"/>
      <c r="R66" s="149"/>
      <c r="S66" s="68">
        <v>1.0</v>
      </c>
      <c r="T66" s="64">
        <v>3.0</v>
      </c>
      <c r="U66" s="68">
        <v>15.0</v>
      </c>
      <c r="V66" s="64">
        <v>4.0</v>
      </c>
      <c r="W66" s="68">
        <f t="shared" si="9"/>
        <v>23</v>
      </c>
      <c r="X66" s="117"/>
      <c r="Y66" s="173"/>
      <c r="Z66" s="65"/>
    </row>
    <row r="67" ht="14.25" customHeight="1">
      <c r="B67" s="148"/>
      <c r="C67" s="144"/>
      <c r="D67" s="144" t="s">
        <v>888</v>
      </c>
      <c r="L67" s="61"/>
      <c r="M67" s="62"/>
      <c r="N67" s="63"/>
      <c r="O67" s="62"/>
      <c r="P67" s="63"/>
      <c r="Q67" s="62"/>
      <c r="R67" s="149"/>
      <c r="S67" s="68">
        <v>0.0</v>
      </c>
      <c r="T67" s="64">
        <v>0.0</v>
      </c>
      <c r="U67" s="68">
        <v>0.0</v>
      </c>
      <c r="V67" s="64">
        <v>0.0</v>
      </c>
      <c r="W67" s="68">
        <f t="shared" si="9"/>
        <v>0</v>
      </c>
      <c r="X67" s="117"/>
      <c r="Y67" s="173"/>
      <c r="Z67" s="65"/>
    </row>
    <row r="68" ht="14.25" customHeight="1">
      <c r="B68" s="148"/>
      <c r="C68" s="144"/>
      <c r="D68" s="154" t="s">
        <v>889</v>
      </c>
      <c r="L68" s="61"/>
      <c r="M68" s="62"/>
      <c r="N68" s="63"/>
      <c r="O68" s="62"/>
      <c r="P68" s="63"/>
      <c r="Q68" s="62"/>
      <c r="R68" s="149"/>
      <c r="S68" s="68">
        <v>0.0</v>
      </c>
      <c r="T68" s="64">
        <v>0.0</v>
      </c>
      <c r="U68" s="68">
        <v>0.0</v>
      </c>
      <c r="V68" s="64">
        <v>0.0</v>
      </c>
      <c r="W68" s="68">
        <f t="shared" si="9"/>
        <v>0</v>
      </c>
      <c r="X68" s="117"/>
      <c r="Y68" s="173"/>
      <c r="Z68" s="65"/>
    </row>
    <row r="69" ht="14.25" customHeight="1">
      <c r="B69" s="148"/>
      <c r="C69" s="144"/>
      <c r="D69" s="154" t="s">
        <v>890</v>
      </c>
      <c r="L69" s="61"/>
      <c r="M69" s="62"/>
      <c r="N69" s="63"/>
      <c r="O69" s="62"/>
      <c r="P69" s="63"/>
      <c r="Q69" s="62"/>
      <c r="R69" s="149"/>
      <c r="S69" s="68">
        <v>0.0</v>
      </c>
      <c r="T69" s="64">
        <v>0.0</v>
      </c>
      <c r="U69" s="68">
        <v>0.0</v>
      </c>
      <c r="V69" s="64">
        <v>0.0</v>
      </c>
      <c r="W69" s="68">
        <f t="shared" si="9"/>
        <v>0</v>
      </c>
      <c r="X69" s="117"/>
      <c r="Y69" s="173"/>
      <c r="Z69" s="65"/>
    </row>
    <row r="70" ht="14.25" customHeight="1">
      <c r="B70" s="148"/>
      <c r="C70" s="144"/>
      <c r="D70" s="144" t="s">
        <v>891</v>
      </c>
      <c r="L70" s="61"/>
      <c r="M70" s="62"/>
      <c r="N70" s="63"/>
      <c r="O70" s="62"/>
      <c r="P70" s="63"/>
      <c r="Q70" s="62"/>
      <c r="R70" s="149"/>
      <c r="S70" s="68">
        <v>0.0</v>
      </c>
      <c r="T70" s="64">
        <v>0.0</v>
      </c>
      <c r="U70" s="68">
        <v>0.0</v>
      </c>
      <c r="V70" s="64">
        <v>0.0</v>
      </c>
      <c r="W70" s="68">
        <f t="shared" si="9"/>
        <v>0</v>
      </c>
      <c r="X70" s="117"/>
      <c r="Y70" s="173"/>
      <c r="Z70" s="65"/>
    </row>
    <row r="71" ht="14.25" customHeight="1">
      <c r="B71" s="148"/>
      <c r="C71" s="144"/>
      <c r="D71" s="144" t="s">
        <v>892</v>
      </c>
      <c r="L71" s="61"/>
      <c r="M71" s="62"/>
      <c r="N71" s="63"/>
      <c r="O71" s="62"/>
      <c r="P71" s="63"/>
      <c r="Q71" s="62"/>
      <c r="R71" s="149"/>
      <c r="S71" s="68">
        <v>11.0</v>
      </c>
      <c r="T71" s="64">
        <v>0.0</v>
      </c>
      <c r="U71" s="68">
        <v>12.0</v>
      </c>
      <c r="V71" s="64">
        <v>4.0</v>
      </c>
      <c r="W71" s="68">
        <f t="shared" si="9"/>
        <v>27</v>
      </c>
      <c r="X71" s="117"/>
      <c r="Y71" s="173"/>
      <c r="Z71" s="65"/>
    </row>
    <row r="72" ht="14.25" customHeight="1">
      <c r="B72" s="148"/>
      <c r="C72" s="144"/>
      <c r="D72" s="144" t="s">
        <v>893</v>
      </c>
      <c r="L72" s="61"/>
      <c r="M72" s="62"/>
      <c r="N72" s="63"/>
      <c r="O72" s="62"/>
      <c r="P72" s="63"/>
      <c r="Q72" s="62"/>
      <c r="R72" s="149"/>
      <c r="S72" s="68">
        <v>0.0</v>
      </c>
      <c r="T72" s="64">
        <v>0.0</v>
      </c>
      <c r="U72" s="68">
        <v>0.0</v>
      </c>
      <c r="V72" s="64">
        <v>0.0</v>
      </c>
      <c r="W72" s="68">
        <f t="shared" si="9"/>
        <v>0</v>
      </c>
      <c r="X72" s="117"/>
      <c r="Y72" s="173"/>
      <c r="Z72" s="65"/>
    </row>
    <row r="73" ht="14.25" customHeight="1">
      <c r="B73" s="148"/>
      <c r="C73" s="144"/>
      <c r="D73" s="183" t="s">
        <v>894</v>
      </c>
      <c r="E73" s="144"/>
      <c r="L73" s="61"/>
      <c r="M73" s="62"/>
      <c r="N73" s="63"/>
      <c r="O73" s="62"/>
      <c r="P73" s="63"/>
      <c r="Q73" s="62"/>
      <c r="R73" s="149"/>
      <c r="S73" s="68">
        <v>0.0</v>
      </c>
      <c r="T73" s="64">
        <v>0.0</v>
      </c>
      <c r="U73" s="68">
        <v>0.0</v>
      </c>
      <c r="V73" s="64">
        <v>0.0</v>
      </c>
      <c r="W73" s="68">
        <f t="shared" si="9"/>
        <v>0</v>
      </c>
      <c r="X73" s="117"/>
      <c r="Y73" s="173"/>
      <c r="Z73" s="65"/>
    </row>
    <row r="74" ht="14.25" customHeight="1">
      <c r="B74" s="148"/>
      <c r="C74" s="144"/>
      <c r="D74" s="183" t="s">
        <v>895</v>
      </c>
      <c r="E74" s="144"/>
      <c r="L74" s="61"/>
      <c r="M74" s="62"/>
      <c r="N74" s="63"/>
      <c r="O74" s="62"/>
      <c r="P74" s="63"/>
      <c r="Q74" s="62"/>
      <c r="R74" s="149"/>
      <c r="S74" s="68">
        <v>0.0</v>
      </c>
      <c r="T74" s="64">
        <v>0.0</v>
      </c>
      <c r="U74" s="68">
        <v>0.0</v>
      </c>
      <c r="V74" s="64">
        <v>0.0</v>
      </c>
      <c r="W74" s="68">
        <f t="shared" si="9"/>
        <v>0</v>
      </c>
      <c r="X74" s="117"/>
      <c r="Y74" s="173"/>
      <c r="Z74" s="65"/>
    </row>
    <row r="75" ht="14.25" customHeight="1">
      <c r="B75" s="148"/>
      <c r="C75" s="144"/>
      <c r="D75" s="183" t="s">
        <v>896</v>
      </c>
      <c r="E75" s="144"/>
      <c r="L75" s="61"/>
      <c r="M75" s="62"/>
      <c r="N75" s="63"/>
      <c r="O75" s="62"/>
      <c r="P75" s="63"/>
      <c r="Q75" s="62"/>
      <c r="R75" s="149"/>
      <c r="S75" s="68">
        <v>0.0</v>
      </c>
      <c r="T75" s="64">
        <v>0.0</v>
      </c>
      <c r="U75" s="68">
        <v>0.0</v>
      </c>
      <c r="V75" s="64">
        <v>0.0</v>
      </c>
      <c r="W75" s="68">
        <f t="shared" si="9"/>
        <v>0</v>
      </c>
      <c r="X75" s="117"/>
      <c r="Y75" s="173"/>
      <c r="Z75" s="65"/>
    </row>
    <row r="76" ht="14.25" customHeight="1">
      <c r="B76" s="148"/>
      <c r="C76" s="144"/>
      <c r="D76" s="144" t="s">
        <v>897</v>
      </c>
      <c r="L76" s="61"/>
      <c r="M76" s="62"/>
      <c r="N76" s="63"/>
      <c r="O76" s="62"/>
      <c r="P76" s="63"/>
      <c r="Q76" s="62"/>
      <c r="R76" s="149"/>
      <c r="S76" s="68">
        <v>6.0</v>
      </c>
      <c r="T76" s="64">
        <v>6.0</v>
      </c>
      <c r="U76" s="68">
        <v>0.0</v>
      </c>
      <c r="V76" s="64">
        <v>0.0</v>
      </c>
      <c r="W76" s="68">
        <f t="shared" si="9"/>
        <v>12</v>
      </c>
      <c r="X76" s="117"/>
      <c r="Y76" s="173"/>
      <c r="Z76" s="65"/>
    </row>
    <row r="77" ht="14.25" customHeight="1">
      <c r="B77" s="148"/>
      <c r="C77" s="144"/>
      <c r="D77" s="144" t="s">
        <v>898</v>
      </c>
      <c r="L77" s="61"/>
      <c r="M77" s="62"/>
      <c r="N77" s="63"/>
      <c r="O77" s="62"/>
      <c r="P77" s="63"/>
      <c r="Q77" s="62"/>
      <c r="R77" s="149"/>
      <c r="S77" s="68">
        <v>0.0</v>
      </c>
      <c r="T77" s="64">
        <v>0.0</v>
      </c>
      <c r="U77" s="68">
        <v>0.0</v>
      </c>
      <c r="V77" s="64">
        <v>0.0</v>
      </c>
      <c r="W77" s="68">
        <f t="shared" si="9"/>
        <v>0</v>
      </c>
      <c r="X77" s="117"/>
      <c r="Y77" s="173"/>
      <c r="Z77" s="65"/>
    </row>
    <row r="78" ht="14.25" customHeight="1">
      <c r="B78" s="148"/>
      <c r="C78" s="144"/>
      <c r="D78" s="144" t="s">
        <v>899</v>
      </c>
      <c r="L78" s="61"/>
      <c r="M78" s="62"/>
      <c r="N78" s="63"/>
      <c r="O78" s="62"/>
      <c r="P78" s="63"/>
      <c r="Q78" s="62"/>
      <c r="R78" s="149"/>
      <c r="S78" s="68">
        <v>0.0</v>
      </c>
      <c r="T78" s="64">
        <v>0.0</v>
      </c>
      <c r="U78" s="68">
        <v>0.0</v>
      </c>
      <c r="V78" s="64">
        <v>0.0</v>
      </c>
      <c r="W78" s="68">
        <f t="shared" si="9"/>
        <v>0</v>
      </c>
      <c r="X78" s="117"/>
      <c r="Y78" s="173"/>
      <c r="Z78" s="65"/>
    </row>
    <row r="79" ht="14.25" customHeight="1">
      <c r="B79" s="148"/>
      <c r="C79" s="144"/>
      <c r="D79" s="144" t="s">
        <v>900</v>
      </c>
      <c r="L79" s="61"/>
      <c r="M79" s="62"/>
      <c r="N79" s="63"/>
      <c r="O79" s="62"/>
      <c r="P79" s="63"/>
      <c r="Q79" s="62"/>
      <c r="R79" s="149"/>
      <c r="S79" s="68">
        <v>1.0</v>
      </c>
      <c r="T79" s="64">
        <v>1.0</v>
      </c>
      <c r="U79" s="68">
        <v>0.0</v>
      </c>
      <c r="V79" s="64">
        <v>0.0</v>
      </c>
      <c r="W79" s="68">
        <f t="shared" si="9"/>
        <v>2</v>
      </c>
      <c r="X79" s="117"/>
      <c r="Y79" s="173"/>
      <c r="Z79" s="65"/>
    </row>
    <row r="80" ht="14.25" customHeight="1">
      <c r="B80" s="148"/>
      <c r="C80" s="70"/>
      <c r="D80" s="154" t="s">
        <v>901</v>
      </c>
      <c r="L80" s="61"/>
      <c r="M80" s="62"/>
      <c r="N80" s="63"/>
      <c r="O80" s="62"/>
      <c r="P80" s="63"/>
      <c r="Q80" s="62"/>
      <c r="R80" s="149"/>
      <c r="S80" s="68">
        <v>1.0</v>
      </c>
      <c r="T80" s="64">
        <v>0.0</v>
      </c>
      <c r="U80" s="68">
        <v>0.0</v>
      </c>
      <c r="V80" s="64">
        <v>0.0</v>
      </c>
      <c r="W80" s="68">
        <f t="shared" si="9"/>
        <v>1</v>
      </c>
      <c r="X80" s="117"/>
      <c r="Y80" s="173"/>
      <c r="Z80" s="65"/>
    </row>
    <row r="81" ht="14.25" customHeight="1">
      <c r="B81" s="148"/>
      <c r="C81" s="70"/>
      <c r="D81" s="154" t="s">
        <v>902</v>
      </c>
      <c r="L81" s="61"/>
      <c r="M81" s="62"/>
      <c r="N81" s="63"/>
      <c r="O81" s="62"/>
      <c r="P81" s="63"/>
      <c r="Q81" s="62"/>
      <c r="R81" s="149"/>
      <c r="S81" s="68">
        <v>0.0</v>
      </c>
      <c r="T81" s="64">
        <v>0.0</v>
      </c>
      <c r="U81" s="68">
        <v>0.0</v>
      </c>
      <c r="V81" s="64">
        <v>0.0</v>
      </c>
      <c r="W81" s="68">
        <f t="shared" si="9"/>
        <v>0</v>
      </c>
      <c r="X81" s="117"/>
      <c r="Y81" s="173"/>
      <c r="Z81" s="65"/>
    </row>
    <row r="82" ht="14.25" customHeight="1">
      <c r="B82" s="148"/>
      <c r="C82" s="70"/>
      <c r="D82" s="154" t="s">
        <v>903</v>
      </c>
      <c r="L82" s="61"/>
      <c r="M82" s="62"/>
      <c r="N82" s="63"/>
      <c r="O82" s="62"/>
      <c r="P82" s="63"/>
      <c r="Q82" s="62"/>
      <c r="R82" s="149"/>
      <c r="S82" s="68">
        <v>0.0</v>
      </c>
      <c r="T82" s="64">
        <v>0.0</v>
      </c>
      <c r="U82" s="68">
        <v>0.0</v>
      </c>
      <c r="V82" s="64">
        <v>0.0</v>
      </c>
      <c r="W82" s="68">
        <f t="shared" si="9"/>
        <v>0</v>
      </c>
      <c r="X82" s="117"/>
      <c r="Y82" s="173"/>
      <c r="Z82" s="65"/>
    </row>
    <row r="83" ht="14.25" customHeight="1">
      <c r="B83" s="148"/>
      <c r="C83" s="70"/>
      <c r="D83" s="154" t="s">
        <v>904</v>
      </c>
      <c r="L83" s="61"/>
      <c r="M83" s="62"/>
      <c r="N83" s="63"/>
      <c r="O83" s="62"/>
      <c r="P83" s="63"/>
      <c r="Q83" s="62"/>
      <c r="R83" s="149"/>
      <c r="S83" s="68">
        <v>0.0</v>
      </c>
      <c r="T83" s="64">
        <v>0.0</v>
      </c>
      <c r="U83" s="68">
        <v>0.0</v>
      </c>
      <c r="V83" s="64">
        <v>0.0</v>
      </c>
      <c r="W83" s="68">
        <f t="shared" si="9"/>
        <v>0</v>
      </c>
      <c r="X83" s="117"/>
      <c r="Y83" s="173"/>
      <c r="Z83" s="65"/>
    </row>
    <row r="84" ht="14.25" customHeight="1">
      <c r="B84" s="148"/>
      <c r="C84" s="70"/>
      <c r="D84" s="154" t="s">
        <v>905</v>
      </c>
      <c r="L84" s="61"/>
      <c r="M84" s="62"/>
      <c r="N84" s="63"/>
      <c r="O84" s="62"/>
      <c r="P84" s="63"/>
      <c r="Q84" s="62"/>
      <c r="R84" s="149"/>
      <c r="S84" s="68">
        <v>0.0</v>
      </c>
      <c r="T84" s="64">
        <v>1.0</v>
      </c>
      <c r="U84" s="68">
        <v>0.0</v>
      </c>
      <c r="V84" s="64">
        <v>0.0</v>
      </c>
      <c r="W84" s="68">
        <f t="shared" si="9"/>
        <v>1</v>
      </c>
      <c r="X84" s="117"/>
      <c r="Y84" s="173"/>
      <c r="Z84" s="65"/>
    </row>
    <row r="85" ht="15.0" customHeight="1">
      <c r="B85" s="148"/>
      <c r="C85" s="214" t="s">
        <v>906</v>
      </c>
      <c r="D85" s="168" t="s">
        <v>907</v>
      </c>
      <c r="E85" s="168"/>
      <c r="L85" s="61"/>
      <c r="M85" s="62"/>
      <c r="N85" s="63"/>
      <c r="O85" s="62"/>
      <c r="P85" s="63"/>
      <c r="Q85" s="62"/>
      <c r="R85" s="63"/>
      <c r="S85" s="68">
        <v>38.0</v>
      </c>
      <c r="T85" s="64">
        <v>48.0</v>
      </c>
      <c r="U85" s="68">
        <v>129.0</v>
      </c>
      <c r="V85" s="64">
        <v>23.0</v>
      </c>
      <c r="W85" s="68">
        <f t="shared" si="9"/>
        <v>238</v>
      </c>
      <c r="X85" s="117"/>
      <c r="Y85" s="173"/>
      <c r="Z85" s="65"/>
    </row>
    <row r="86" ht="15.0" customHeight="1">
      <c r="B86" s="148"/>
      <c r="C86" s="144"/>
      <c r="D86" s="70" t="s">
        <v>845</v>
      </c>
      <c r="E86" s="91" t="s">
        <v>908</v>
      </c>
      <c r="F86" s="70"/>
      <c r="L86" s="61"/>
      <c r="M86" s="62"/>
      <c r="N86" s="63"/>
      <c r="O86" s="62"/>
      <c r="P86" s="63"/>
      <c r="Q86" s="62"/>
      <c r="R86" s="63"/>
      <c r="S86" s="68">
        <v>1.0</v>
      </c>
      <c r="T86" s="64">
        <v>1.0</v>
      </c>
      <c r="U86" s="68">
        <v>5.0</v>
      </c>
      <c r="V86" s="64">
        <v>0.0</v>
      </c>
      <c r="W86" s="68">
        <f t="shared" si="9"/>
        <v>7</v>
      </c>
      <c r="X86" s="117"/>
      <c r="Y86" s="173"/>
      <c r="Z86" s="65"/>
    </row>
    <row r="87" ht="15.0" customHeight="1">
      <c r="B87" s="148"/>
      <c r="C87" s="144"/>
      <c r="D87" s="70" t="s">
        <v>847</v>
      </c>
      <c r="E87" s="91" t="s">
        <v>909</v>
      </c>
      <c r="F87" s="70"/>
      <c r="L87" s="61"/>
      <c r="M87" s="62"/>
      <c r="N87" s="63"/>
      <c r="O87" s="62"/>
      <c r="P87" s="63"/>
      <c r="Q87" s="62"/>
      <c r="R87" s="63"/>
      <c r="S87" s="68">
        <v>0.0</v>
      </c>
      <c r="T87" s="64">
        <v>0.0</v>
      </c>
      <c r="U87" s="68">
        <v>0.0</v>
      </c>
      <c r="V87" s="64">
        <v>0.0</v>
      </c>
      <c r="W87" s="68">
        <f t="shared" si="9"/>
        <v>0</v>
      </c>
      <c r="X87" s="117"/>
      <c r="Y87" s="173"/>
      <c r="Z87" s="65"/>
    </row>
    <row r="88" ht="15.0" customHeight="1">
      <c r="B88" s="148"/>
      <c r="C88" s="144"/>
      <c r="D88" s="70" t="s">
        <v>849</v>
      </c>
      <c r="E88" s="91" t="s">
        <v>910</v>
      </c>
      <c r="F88" s="70"/>
      <c r="L88" s="61"/>
      <c r="M88" s="62"/>
      <c r="N88" s="63"/>
      <c r="O88" s="62"/>
      <c r="P88" s="63"/>
      <c r="Q88" s="62"/>
      <c r="R88" s="63"/>
      <c r="S88" s="68">
        <v>9.0</v>
      </c>
      <c r="T88" s="64">
        <v>4.0</v>
      </c>
      <c r="U88" s="68">
        <v>21.0</v>
      </c>
      <c r="V88" s="64">
        <v>0.0</v>
      </c>
      <c r="W88" s="68">
        <f t="shared" si="9"/>
        <v>34</v>
      </c>
      <c r="X88" s="117"/>
      <c r="Y88" s="173"/>
      <c r="Z88" s="65"/>
    </row>
    <row r="89" ht="15.0" customHeight="1">
      <c r="B89" s="148"/>
      <c r="C89" s="144"/>
      <c r="D89" s="70" t="s">
        <v>858</v>
      </c>
      <c r="E89" s="70" t="s">
        <v>911</v>
      </c>
      <c r="F89" s="70"/>
      <c r="L89" s="61"/>
      <c r="M89" s="62"/>
      <c r="N89" s="63"/>
      <c r="O89" s="62"/>
      <c r="P89" s="63"/>
      <c r="Q89" s="62"/>
      <c r="R89" s="63"/>
      <c r="S89" s="68">
        <v>4.0</v>
      </c>
      <c r="T89" s="64">
        <v>0.0</v>
      </c>
      <c r="U89" s="68">
        <v>30.0</v>
      </c>
      <c r="V89" s="64">
        <v>0.0</v>
      </c>
      <c r="W89" s="68">
        <f t="shared" si="9"/>
        <v>34</v>
      </c>
      <c r="X89" s="117"/>
      <c r="Y89" s="173"/>
      <c r="Z89" s="65"/>
    </row>
    <row r="90" ht="15.0" customHeight="1">
      <c r="B90" s="148"/>
      <c r="C90" s="144"/>
      <c r="D90" s="70" t="s">
        <v>860</v>
      </c>
      <c r="E90" s="70" t="s">
        <v>912</v>
      </c>
      <c r="F90" s="70"/>
      <c r="L90" s="61"/>
      <c r="M90" s="62"/>
      <c r="N90" s="63"/>
      <c r="O90" s="62"/>
      <c r="P90" s="63"/>
      <c r="Q90" s="62"/>
      <c r="R90" s="63"/>
      <c r="S90" s="68">
        <v>0.0</v>
      </c>
      <c r="T90" s="64">
        <v>13.0</v>
      </c>
      <c r="U90" s="68">
        <v>1.0</v>
      </c>
      <c r="V90" s="64">
        <v>0.0</v>
      </c>
      <c r="W90" s="68">
        <f t="shared" si="9"/>
        <v>14</v>
      </c>
      <c r="X90" s="117"/>
      <c r="Y90" s="173"/>
      <c r="Z90" s="65"/>
    </row>
    <row r="91" ht="15.0" customHeight="1">
      <c r="B91" s="148"/>
      <c r="C91" s="144"/>
      <c r="D91" s="70" t="s">
        <v>862</v>
      </c>
      <c r="E91" s="70" t="s">
        <v>913</v>
      </c>
      <c r="F91" s="70"/>
      <c r="L91" s="61"/>
      <c r="M91" s="62"/>
      <c r="N91" s="63"/>
      <c r="O91" s="62"/>
      <c r="P91" s="63"/>
      <c r="Q91" s="62"/>
      <c r="R91" s="63"/>
      <c r="S91" s="68">
        <v>0.0</v>
      </c>
      <c r="T91" s="64">
        <v>11.0</v>
      </c>
      <c r="U91" s="68">
        <v>0.0</v>
      </c>
      <c r="V91" s="64">
        <v>0.0</v>
      </c>
      <c r="W91" s="68">
        <f t="shared" si="9"/>
        <v>11</v>
      </c>
      <c r="X91" s="117"/>
      <c r="Y91" s="173"/>
      <c r="Z91" s="65"/>
    </row>
    <row r="92" ht="15.0" customHeight="1">
      <c r="B92" s="148"/>
      <c r="C92" s="144"/>
      <c r="D92" s="70" t="s">
        <v>914</v>
      </c>
      <c r="E92" s="70" t="s">
        <v>915</v>
      </c>
      <c r="F92" s="70"/>
      <c r="L92" s="61"/>
      <c r="M92" s="62"/>
      <c r="N92" s="63"/>
      <c r="O92" s="62"/>
      <c r="P92" s="63"/>
      <c r="Q92" s="62"/>
      <c r="R92" s="63"/>
      <c r="S92" s="68">
        <v>17.0</v>
      </c>
      <c r="T92" s="64">
        <v>14.0</v>
      </c>
      <c r="U92" s="68">
        <v>51.0</v>
      </c>
      <c r="V92" s="64">
        <v>18.0</v>
      </c>
      <c r="W92" s="68">
        <f t="shared" si="9"/>
        <v>100</v>
      </c>
      <c r="X92" s="117"/>
      <c r="Y92" s="173"/>
      <c r="Z92" s="65"/>
    </row>
    <row r="93" ht="15.0" customHeight="1">
      <c r="B93" s="148"/>
      <c r="C93" s="144"/>
      <c r="D93" s="70" t="s">
        <v>916</v>
      </c>
      <c r="E93" s="70" t="s">
        <v>917</v>
      </c>
      <c r="F93" s="70"/>
      <c r="L93" s="61"/>
      <c r="M93" s="62"/>
      <c r="N93" s="63"/>
      <c r="O93" s="62"/>
      <c r="P93" s="63"/>
      <c r="Q93" s="62"/>
      <c r="R93" s="63"/>
      <c r="S93" s="68">
        <v>7.0</v>
      </c>
      <c r="T93" s="64">
        <v>5.0</v>
      </c>
      <c r="U93" s="68">
        <v>18.0</v>
      </c>
      <c r="V93" s="64">
        <v>5.0</v>
      </c>
      <c r="W93" s="68">
        <f t="shared" si="9"/>
        <v>35</v>
      </c>
      <c r="X93" s="117"/>
      <c r="Y93" s="173"/>
      <c r="Z93" s="65"/>
    </row>
    <row r="94" ht="15.0" customHeight="1">
      <c r="B94" s="148"/>
      <c r="C94" s="144"/>
      <c r="D94" s="70" t="s">
        <v>918</v>
      </c>
      <c r="E94" s="70" t="s">
        <v>919</v>
      </c>
      <c r="F94" s="70"/>
      <c r="L94" s="61"/>
      <c r="M94" s="62"/>
      <c r="N94" s="63"/>
      <c r="O94" s="62"/>
      <c r="P94" s="63"/>
      <c r="Q94" s="62"/>
      <c r="R94" s="63"/>
      <c r="S94" s="68">
        <v>0.0</v>
      </c>
      <c r="T94" s="64">
        <v>0.0</v>
      </c>
      <c r="U94" s="68">
        <v>3.0</v>
      </c>
      <c r="V94" s="64">
        <v>0.0</v>
      </c>
      <c r="W94" s="68">
        <f t="shared" si="9"/>
        <v>3</v>
      </c>
      <c r="X94" s="117"/>
      <c r="Y94" s="173"/>
      <c r="Z94" s="65"/>
    </row>
    <row r="95" ht="14.25" customHeight="1">
      <c r="B95" s="148"/>
      <c r="C95" s="70"/>
      <c r="D95" s="70"/>
      <c r="E95" s="77" t="s">
        <v>920</v>
      </c>
      <c r="F95" s="70"/>
      <c r="L95" s="61"/>
      <c r="M95" s="62"/>
      <c r="N95" s="63"/>
      <c r="O95" s="62"/>
      <c r="P95" s="63"/>
      <c r="Q95" s="62"/>
      <c r="R95" s="63"/>
      <c r="S95" s="68">
        <v>0.0</v>
      </c>
      <c r="T95" s="64">
        <v>0.0</v>
      </c>
      <c r="U95" s="68">
        <v>1.0</v>
      </c>
      <c r="V95" s="64">
        <v>0.0</v>
      </c>
      <c r="W95" s="68">
        <f t="shared" si="9"/>
        <v>1</v>
      </c>
      <c r="X95" s="117"/>
      <c r="Y95" s="173"/>
      <c r="Z95" s="65"/>
    </row>
    <row r="96" ht="14.25" customHeight="1">
      <c r="B96" s="148"/>
      <c r="C96" s="70"/>
      <c r="D96" s="70"/>
      <c r="E96" s="77" t="s">
        <v>921</v>
      </c>
      <c r="F96" s="70"/>
      <c r="L96" s="61"/>
      <c r="M96" s="62"/>
      <c r="N96" s="63"/>
      <c r="O96" s="62"/>
      <c r="P96" s="63"/>
      <c r="Q96" s="62"/>
      <c r="R96" s="63"/>
      <c r="S96" s="68">
        <v>0.0</v>
      </c>
      <c r="T96" s="64">
        <v>0.0</v>
      </c>
      <c r="U96" s="68">
        <v>2.0</v>
      </c>
      <c r="V96" s="64">
        <v>0.0</v>
      </c>
      <c r="W96" s="68">
        <f t="shared" si="9"/>
        <v>2</v>
      </c>
      <c r="X96" s="117"/>
      <c r="Y96" s="173"/>
      <c r="Z96" s="65"/>
    </row>
    <row r="97" ht="14.25" customHeight="1">
      <c r="B97" s="148"/>
      <c r="C97" s="70"/>
      <c r="D97" s="70"/>
      <c r="E97" s="77" t="s">
        <v>922</v>
      </c>
      <c r="F97" s="70"/>
      <c r="L97" s="61"/>
      <c r="M97" s="62"/>
      <c r="N97" s="63"/>
      <c r="O97" s="62"/>
      <c r="P97" s="63"/>
      <c r="Q97" s="62"/>
      <c r="R97" s="63"/>
      <c r="S97" s="68">
        <v>0.0</v>
      </c>
      <c r="T97" s="64">
        <v>0.0</v>
      </c>
      <c r="U97" s="68">
        <v>0.0</v>
      </c>
      <c r="V97" s="64">
        <v>0.0</v>
      </c>
      <c r="W97" s="68">
        <f t="shared" si="9"/>
        <v>0</v>
      </c>
      <c r="X97" s="117"/>
      <c r="Y97" s="173"/>
      <c r="Z97" s="65"/>
    </row>
    <row r="98" ht="14.25" customHeight="1">
      <c r="B98" s="148"/>
      <c r="C98" s="70"/>
      <c r="D98" s="70"/>
      <c r="E98" s="77" t="s">
        <v>923</v>
      </c>
      <c r="L98" s="61"/>
      <c r="M98" s="62"/>
      <c r="N98" s="63"/>
      <c r="O98" s="62"/>
      <c r="P98" s="63"/>
      <c r="Q98" s="62"/>
      <c r="R98" s="63"/>
      <c r="S98" s="68">
        <v>0.0</v>
      </c>
      <c r="T98" s="64">
        <v>0.0</v>
      </c>
      <c r="U98" s="68">
        <v>0.0</v>
      </c>
      <c r="V98" s="64">
        <v>0.0</v>
      </c>
      <c r="W98" s="68">
        <f t="shared" si="9"/>
        <v>0</v>
      </c>
      <c r="X98" s="117"/>
      <c r="Y98" s="173"/>
      <c r="Z98" s="65"/>
    </row>
    <row r="99" ht="14.25" customHeight="1">
      <c r="B99" s="148"/>
      <c r="C99" s="70"/>
      <c r="D99" s="70"/>
      <c r="E99" s="70"/>
      <c r="L99" s="61"/>
      <c r="M99" s="62"/>
      <c r="N99" s="63"/>
      <c r="O99" s="62"/>
      <c r="P99" s="63"/>
      <c r="Q99" s="62"/>
      <c r="R99" s="63"/>
      <c r="S99" s="68"/>
      <c r="T99" s="64"/>
      <c r="U99" s="68"/>
      <c r="V99" s="64"/>
      <c r="W99" s="68"/>
      <c r="X99" s="117"/>
      <c r="Y99" s="173"/>
      <c r="Z99" s="65"/>
    </row>
    <row r="100" ht="14.25" customHeight="1">
      <c r="B100" s="148"/>
      <c r="C100" s="214" t="s">
        <v>924</v>
      </c>
      <c r="D100" s="144" t="s">
        <v>925</v>
      </c>
      <c r="E100" s="183"/>
      <c r="L100" s="61"/>
      <c r="M100" s="62"/>
      <c r="N100" s="64">
        <v>125.0</v>
      </c>
      <c r="O100" s="68">
        <v>125.0</v>
      </c>
      <c r="P100" s="64">
        <v>125.0</v>
      </c>
      <c r="Q100" s="68">
        <v>125.0</v>
      </c>
      <c r="R100" s="64">
        <f>SUM(N100:Q100)</f>
        <v>500</v>
      </c>
      <c r="S100" s="68">
        <v>290.0</v>
      </c>
      <c r="T100" s="64">
        <v>310.0</v>
      </c>
      <c r="U100" s="68">
        <v>158.0</v>
      </c>
      <c r="V100" s="64">
        <v>246.0</v>
      </c>
      <c r="W100" s="68">
        <f>SUM(S100:V100)</f>
        <v>1004</v>
      </c>
      <c r="X100" s="546">
        <f>R100-W100</f>
        <v>-504</v>
      </c>
      <c r="Y100" s="173"/>
      <c r="Z100" s="65"/>
    </row>
    <row r="101" ht="15.0" customHeight="1">
      <c r="B101" s="148" t="s">
        <v>403</v>
      </c>
      <c r="C101" s="554" t="s">
        <v>926</v>
      </c>
      <c r="D101" s="186" t="s">
        <v>927</v>
      </c>
      <c r="E101" s="186"/>
      <c r="L101" s="61"/>
      <c r="M101" s="62"/>
      <c r="N101" s="63"/>
      <c r="O101" s="62"/>
      <c r="P101" s="63"/>
      <c r="Q101" s="62"/>
      <c r="R101" s="63"/>
      <c r="S101" s="68"/>
      <c r="T101" s="64"/>
      <c r="U101" s="68"/>
      <c r="V101" s="64"/>
      <c r="W101" s="68"/>
      <c r="X101" s="117"/>
      <c r="Y101" s="173"/>
      <c r="Z101" s="65"/>
    </row>
    <row r="102" ht="14.25" customHeight="1">
      <c r="B102" s="148"/>
      <c r="C102" s="144"/>
      <c r="D102" s="183" t="s">
        <v>928</v>
      </c>
      <c r="L102" s="61"/>
      <c r="M102" s="62"/>
      <c r="N102" s="63"/>
      <c r="O102" s="62"/>
      <c r="P102" s="63"/>
      <c r="Q102" s="62"/>
      <c r="R102" s="63"/>
      <c r="S102" s="68">
        <v>16.0</v>
      </c>
      <c r="T102" s="64">
        <v>7.0</v>
      </c>
      <c r="U102" s="68">
        <v>4.0</v>
      </c>
      <c r="V102" s="64">
        <v>7.0</v>
      </c>
      <c r="W102" s="68">
        <f t="shared" ref="W102:W113" si="11">SUM(S102:V102)</f>
        <v>34</v>
      </c>
      <c r="X102" s="117"/>
      <c r="Y102" s="173"/>
      <c r="Z102" s="65"/>
    </row>
    <row r="103" ht="14.25" customHeight="1">
      <c r="B103" s="148"/>
      <c r="C103" s="70"/>
      <c r="D103" s="154" t="s">
        <v>929</v>
      </c>
      <c r="L103" s="61"/>
      <c r="M103" s="62"/>
      <c r="N103" s="63"/>
      <c r="O103" s="62"/>
      <c r="P103" s="63"/>
      <c r="Q103" s="62"/>
      <c r="R103" s="63"/>
      <c r="S103" s="68">
        <v>4.0</v>
      </c>
      <c r="T103" s="64">
        <v>4.0</v>
      </c>
      <c r="U103" s="68">
        <v>0.0</v>
      </c>
      <c r="V103" s="64">
        <v>0.0</v>
      </c>
      <c r="W103" s="68">
        <f t="shared" si="11"/>
        <v>8</v>
      </c>
      <c r="X103" s="117"/>
      <c r="Y103" s="173"/>
      <c r="Z103" s="65"/>
    </row>
    <row r="104" ht="14.25" customHeight="1">
      <c r="B104" s="148"/>
      <c r="C104" s="77"/>
      <c r="D104" s="154" t="s">
        <v>930</v>
      </c>
      <c r="L104" s="61"/>
      <c r="M104" s="62"/>
      <c r="N104" s="63"/>
      <c r="O104" s="62"/>
      <c r="P104" s="63"/>
      <c r="Q104" s="62"/>
      <c r="R104" s="63"/>
      <c r="S104" s="68">
        <v>5.0</v>
      </c>
      <c r="T104" s="64">
        <v>0.0</v>
      </c>
      <c r="U104" s="68">
        <v>3.0</v>
      </c>
      <c r="V104" s="64">
        <v>5.0</v>
      </c>
      <c r="W104" s="68">
        <f t="shared" si="11"/>
        <v>13</v>
      </c>
      <c r="X104" s="117"/>
      <c r="Y104" s="173"/>
      <c r="Z104" s="65"/>
    </row>
    <row r="105" ht="14.25" customHeight="1">
      <c r="B105" s="148"/>
      <c r="C105" s="77"/>
      <c r="D105" s="154" t="s">
        <v>931</v>
      </c>
      <c r="L105" s="61"/>
      <c r="M105" s="62"/>
      <c r="N105" s="63"/>
      <c r="O105" s="62"/>
      <c r="P105" s="63"/>
      <c r="Q105" s="62"/>
      <c r="R105" s="63"/>
      <c r="S105" s="68">
        <v>5.0</v>
      </c>
      <c r="T105" s="64">
        <v>0.0</v>
      </c>
      <c r="U105" s="68">
        <v>0.0</v>
      </c>
      <c r="V105" s="64">
        <v>0.0</v>
      </c>
      <c r="W105" s="68">
        <f t="shared" si="11"/>
        <v>5</v>
      </c>
      <c r="X105" s="117"/>
      <c r="Y105" s="173"/>
      <c r="Z105" s="65"/>
    </row>
    <row r="106" ht="14.25" customHeight="1">
      <c r="B106" s="148"/>
      <c r="C106" s="77"/>
      <c r="D106" s="154" t="s">
        <v>932</v>
      </c>
      <c r="L106" s="61"/>
      <c r="M106" s="62"/>
      <c r="N106" s="63"/>
      <c r="O106" s="62"/>
      <c r="P106" s="63"/>
      <c r="Q106" s="62"/>
      <c r="R106" s="63"/>
      <c r="S106" s="68">
        <v>2.0</v>
      </c>
      <c r="T106" s="64">
        <v>3.0</v>
      </c>
      <c r="U106" s="68">
        <v>1.0</v>
      </c>
      <c r="V106" s="64">
        <v>2.0</v>
      </c>
      <c r="W106" s="68">
        <f t="shared" si="11"/>
        <v>8</v>
      </c>
      <c r="X106" s="117"/>
      <c r="Y106" s="173"/>
      <c r="Z106" s="65"/>
    </row>
    <row r="107" ht="14.25" customHeight="1">
      <c r="B107" s="148"/>
      <c r="C107" s="144"/>
      <c r="D107" s="183" t="s">
        <v>933</v>
      </c>
      <c r="L107" s="61"/>
      <c r="M107" s="62"/>
      <c r="N107" s="63"/>
      <c r="O107" s="62"/>
      <c r="P107" s="63"/>
      <c r="Q107" s="62"/>
      <c r="R107" s="63"/>
      <c r="S107" s="68">
        <v>24.0</v>
      </c>
      <c r="T107" s="64">
        <v>30.0</v>
      </c>
      <c r="U107" s="68">
        <v>3.0</v>
      </c>
      <c r="V107" s="64">
        <v>26.0</v>
      </c>
      <c r="W107" s="68">
        <f t="shared" si="11"/>
        <v>83</v>
      </c>
      <c r="X107" s="117"/>
      <c r="Y107" s="173"/>
      <c r="Z107" s="65"/>
    </row>
    <row r="108" ht="14.25" customHeight="1">
      <c r="B108" s="148"/>
      <c r="C108" s="70"/>
      <c r="D108" s="154" t="s">
        <v>934</v>
      </c>
      <c r="L108" s="61"/>
      <c r="M108" s="62"/>
      <c r="N108" s="63"/>
      <c r="O108" s="62"/>
      <c r="P108" s="63"/>
      <c r="Q108" s="62"/>
      <c r="R108" s="63"/>
      <c r="S108" s="68">
        <v>20.0</v>
      </c>
      <c r="T108" s="64">
        <v>26.0</v>
      </c>
      <c r="U108" s="68">
        <v>0.0</v>
      </c>
      <c r="V108" s="64">
        <v>22.0</v>
      </c>
      <c r="W108" s="68">
        <f t="shared" si="11"/>
        <v>68</v>
      </c>
      <c r="X108" s="117"/>
      <c r="Y108" s="173"/>
      <c r="Z108" s="65"/>
    </row>
    <row r="109" ht="14.25" customHeight="1">
      <c r="B109" s="148"/>
      <c r="C109" s="77"/>
      <c r="D109" s="154" t="s">
        <v>935</v>
      </c>
      <c r="L109" s="61"/>
      <c r="M109" s="62"/>
      <c r="N109" s="63"/>
      <c r="O109" s="62"/>
      <c r="P109" s="63"/>
      <c r="Q109" s="62"/>
      <c r="R109" s="63"/>
      <c r="S109" s="68">
        <v>4.0</v>
      </c>
      <c r="T109" s="64">
        <v>4.0</v>
      </c>
      <c r="U109" s="68">
        <v>3.0</v>
      </c>
      <c r="V109" s="64">
        <v>4.0</v>
      </c>
      <c r="W109" s="68">
        <f t="shared" si="11"/>
        <v>15</v>
      </c>
      <c r="X109" s="117"/>
      <c r="Y109" s="173"/>
      <c r="Z109" s="65"/>
    </row>
    <row r="110" ht="14.25" customHeight="1">
      <c r="B110" s="148"/>
      <c r="C110" s="75"/>
      <c r="D110" s="183" t="s">
        <v>936</v>
      </c>
      <c r="L110" s="61"/>
      <c r="M110" s="62"/>
      <c r="N110" s="63"/>
      <c r="O110" s="62"/>
      <c r="P110" s="63"/>
      <c r="Q110" s="62"/>
      <c r="R110" s="63"/>
      <c r="S110" s="68">
        <v>0.0</v>
      </c>
      <c r="T110" s="64">
        <v>0.0</v>
      </c>
      <c r="U110" s="68">
        <v>0.0</v>
      </c>
      <c r="V110" s="64">
        <v>0.0</v>
      </c>
      <c r="W110" s="68">
        <f t="shared" si="11"/>
        <v>0</v>
      </c>
      <c r="X110" s="117"/>
      <c r="Y110" s="173"/>
      <c r="Z110" s="65"/>
    </row>
    <row r="111" ht="14.25" customHeight="1">
      <c r="B111" s="148"/>
      <c r="C111" s="214" t="s">
        <v>937</v>
      </c>
      <c r="D111" s="183" t="s">
        <v>938</v>
      </c>
      <c r="E111" s="70"/>
      <c r="L111" s="61"/>
      <c r="M111" s="62"/>
      <c r="N111" s="63"/>
      <c r="O111" s="62"/>
      <c r="P111" s="63"/>
      <c r="Q111" s="62"/>
      <c r="R111" s="63"/>
      <c r="S111" s="68">
        <v>0.0</v>
      </c>
      <c r="T111" s="64">
        <v>0.0</v>
      </c>
      <c r="U111" s="68">
        <v>0.0</v>
      </c>
      <c r="V111" s="64">
        <v>0.0</v>
      </c>
      <c r="W111" s="68">
        <f t="shared" si="11"/>
        <v>0</v>
      </c>
      <c r="X111" s="117"/>
      <c r="Y111" s="173"/>
      <c r="Z111" s="65"/>
    </row>
    <row r="112" ht="14.25" customHeight="1">
      <c r="B112" s="148"/>
      <c r="C112" s="144"/>
      <c r="D112" s="183"/>
      <c r="E112" s="70" t="s">
        <v>939</v>
      </c>
      <c r="L112" s="61"/>
      <c r="M112" s="62"/>
      <c r="N112" s="63"/>
      <c r="O112" s="62"/>
      <c r="P112" s="63"/>
      <c r="Q112" s="62"/>
      <c r="R112" s="63"/>
      <c r="S112" s="68">
        <v>0.0</v>
      </c>
      <c r="T112" s="64">
        <v>0.0</v>
      </c>
      <c r="U112" s="68">
        <v>0.0</v>
      </c>
      <c r="V112" s="64">
        <v>0.0</v>
      </c>
      <c r="W112" s="68">
        <f t="shared" si="11"/>
        <v>0</v>
      </c>
      <c r="X112" s="117"/>
      <c r="Y112" s="89"/>
      <c r="Z112" s="65"/>
    </row>
    <row r="113" ht="14.25" customHeight="1">
      <c r="B113" s="148"/>
      <c r="C113" s="144"/>
      <c r="D113" s="183"/>
      <c r="E113" s="70" t="s">
        <v>940</v>
      </c>
      <c r="L113" s="61"/>
      <c r="M113" s="62"/>
      <c r="N113" s="63"/>
      <c r="O113" s="62"/>
      <c r="P113" s="63"/>
      <c r="Q113" s="62"/>
      <c r="R113" s="63"/>
      <c r="S113" s="68">
        <v>0.0</v>
      </c>
      <c r="T113" s="64">
        <v>0.0</v>
      </c>
      <c r="U113" s="68">
        <v>0.0</v>
      </c>
      <c r="V113" s="64">
        <v>0.0</v>
      </c>
      <c r="W113" s="68">
        <f t="shared" si="11"/>
        <v>0</v>
      </c>
      <c r="X113" s="117"/>
      <c r="Y113" s="89"/>
      <c r="Z113" s="65"/>
    </row>
    <row r="114" ht="14.25" customHeight="1">
      <c r="B114" s="148"/>
      <c r="C114" s="144"/>
      <c r="D114" s="183"/>
      <c r="E114" s="70"/>
      <c r="L114" s="61"/>
      <c r="M114" s="62"/>
      <c r="N114" s="63"/>
      <c r="O114" s="62"/>
      <c r="P114" s="63"/>
      <c r="Q114" s="62"/>
      <c r="R114" s="63"/>
      <c r="S114" s="68"/>
      <c r="T114" s="64"/>
      <c r="U114" s="68"/>
      <c r="V114" s="64"/>
      <c r="W114" s="68"/>
      <c r="X114" s="117"/>
      <c r="Y114" s="173"/>
      <c r="Z114" s="65"/>
    </row>
    <row r="115" ht="14.25" customHeight="1">
      <c r="B115" s="148"/>
      <c r="C115" s="214" t="s">
        <v>941</v>
      </c>
      <c r="D115" s="183" t="s">
        <v>942</v>
      </c>
      <c r="E115" s="70"/>
      <c r="L115" s="61"/>
      <c r="M115" s="62"/>
      <c r="N115" s="63"/>
      <c r="O115" s="62"/>
      <c r="P115" s="63"/>
      <c r="Q115" s="62"/>
      <c r="R115" s="63"/>
      <c r="S115" s="68">
        <v>0.0</v>
      </c>
      <c r="T115" s="64">
        <v>0.0</v>
      </c>
      <c r="U115" s="68">
        <v>0.0</v>
      </c>
      <c r="V115" s="64">
        <v>0.0</v>
      </c>
      <c r="W115" s="68">
        <f>SUM(S115:V115)</f>
        <v>0</v>
      </c>
      <c r="X115" s="117"/>
      <c r="Y115" s="173"/>
      <c r="Z115" s="65"/>
    </row>
    <row r="116" ht="14.25" customHeight="1">
      <c r="B116" s="69" t="s">
        <v>403</v>
      </c>
      <c r="C116" s="70"/>
      <c r="D116" s="143"/>
      <c r="E116" s="143"/>
      <c r="L116" s="61"/>
      <c r="M116" s="62"/>
      <c r="N116" s="63"/>
      <c r="O116" s="62"/>
      <c r="P116" s="63"/>
      <c r="Q116" s="62"/>
      <c r="R116" s="63"/>
      <c r="S116" s="68"/>
      <c r="T116" s="64"/>
      <c r="U116" s="68"/>
      <c r="V116" s="64"/>
      <c r="W116" s="68"/>
      <c r="X116" s="117"/>
      <c r="Y116" s="173"/>
      <c r="Z116" s="65"/>
    </row>
    <row r="117" ht="14.25" customHeight="1">
      <c r="B117" s="148" t="s">
        <v>943</v>
      </c>
      <c r="C117" s="214" t="s">
        <v>866</v>
      </c>
      <c r="D117" s="144" t="s">
        <v>944</v>
      </c>
      <c r="E117" s="144"/>
      <c r="L117" s="61"/>
      <c r="M117" s="62"/>
      <c r="N117" s="63">
        <v>100.0</v>
      </c>
      <c r="O117" s="62">
        <v>100.0</v>
      </c>
      <c r="P117" s="63">
        <v>100.0</v>
      </c>
      <c r="Q117" s="62">
        <v>100.0</v>
      </c>
      <c r="R117" s="64">
        <f>SUM(N117:Q117)</f>
        <v>400</v>
      </c>
      <c r="S117" s="68">
        <v>32.0</v>
      </c>
      <c r="T117" s="64">
        <v>26.0</v>
      </c>
      <c r="U117" s="68">
        <v>42.0</v>
      </c>
      <c r="V117" s="64">
        <v>22.0</v>
      </c>
      <c r="W117" s="68">
        <f t="shared" ref="W117:W132" si="12">SUM(S117:V117)</f>
        <v>122</v>
      </c>
      <c r="X117" s="546">
        <f>R117-W117</f>
        <v>278</v>
      </c>
      <c r="Y117" s="173"/>
      <c r="Z117" s="65"/>
    </row>
    <row r="118" ht="14.25" customHeight="1">
      <c r="B118" s="69" t="s">
        <v>945</v>
      </c>
      <c r="C118" s="70"/>
      <c r="D118" s="70" t="s">
        <v>845</v>
      </c>
      <c r="E118" s="118" t="s">
        <v>946</v>
      </c>
      <c r="L118" s="61"/>
      <c r="M118" s="62"/>
      <c r="N118" s="63"/>
      <c r="O118" s="62"/>
      <c r="P118" s="63"/>
      <c r="Q118" s="62"/>
      <c r="R118" s="63"/>
      <c r="S118" s="68">
        <v>0.0</v>
      </c>
      <c r="T118" s="64">
        <v>0.0</v>
      </c>
      <c r="U118" s="68">
        <v>0.0</v>
      </c>
      <c r="V118" s="64">
        <v>1.0</v>
      </c>
      <c r="W118" s="68">
        <f t="shared" si="12"/>
        <v>1</v>
      </c>
      <c r="X118" s="117"/>
      <c r="Y118" s="173"/>
      <c r="Z118" s="65"/>
    </row>
    <row r="119" ht="14.25" customHeight="1">
      <c r="B119" s="148"/>
      <c r="C119" s="70"/>
      <c r="D119" s="197"/>
      <c r="E119" s="118" t="s">
        <v>878</v>
      </c>
      <c r="L119" s="61"/>
      <c r="M119" s="62"/>
      <c r="N119" s="63"/>
      <c r="O119" s="62"/>
      <c r="P119" s="63"/>
      <c r="Q119" s="62"/>
      <c r="R119" s="63"/>
      <c r="S119" s="68">
        <v>0.0</v>
      </c>
      <c r="T119" s="64">
        <v>0.0</v>
      </c>
      <c r="U119" s="68">
        <v>0.0</v>
      </c>
      <c r="V119" s="64">
        <v>1.0</v>
      </c>
      <c r="W119" s="68">
        <f t="shared" si="12"/>
        <v>1</v>
      </c>
      <c r="X119" s="117"/>
      <c r="Y119" s="173"/>
      <c r="Z119" s="65"/>
    </row>
    <row r="120" ht="14.25" customHeight="1">
      <c r="B120" s="148"/>
      <c r="C120" s="70"/>
      <c r="D120" s="197"/>
      <c r="E120" s="118" t="s">
        <v>879</v>
      </c>
      <c r="L120" s="61"/>
      <c r="M120" s="62"/>
      <c r="N120" s="63"/>
      <c r="O120" s="62"/>
      <c r="P120" s="63"/>
      <c r="Q120" s="62"/>
      <c r="R120" s="63"/>
      <c r="S120" s="68">
        <v>0.0</v>
      </c>
      <c r="T120" s="64">
        <v>0.0</v>
      </c>
      <c r="U120" s="68">
        <v>0.0</v>
      </c>
      <c r="V120" s="64">
        <v>0.0</v>
      </c>
      <c r="W120" s="68">
        <f t="shared" si="12"/>
        <v>0</v>
      </c>
      <c r="X120" s="117"/>
      <c r="Y120" s="173"/>
      <c r="Z120" s="65"/>
    </row>
    <row r="121" ht="14.25" customHeight="1">
      <c r="B121" s="148" t="s">
        <v>403</v>
      </c>
      <c r="C121" s="70"/>
      <c r="D121" s="197"/>
      <c r="E121" s="118" t="s">
        <v>880</v>
      </c>
      <c r="L121" s="61"/>
      <c r="M121" s="62"/>
      <c r="N121" s="63"/>
      <c r="O121" s="62"/>
      <c r="P121" s="63"/>
      <c r="Q121" s="62"/>
      <c r="R121" s="63"/>
      <c r="S121" s="68">
        <v>0.0</v>
      </c>
      <c r="T121" s="64">
        <v>0.0</v>
      </c>
      <c r="U121" s="68">
        <v>0.0</v>
      </c>
      <c r="V121" s="64">
        <v>0.0</v>
      </c>
      <c r="W121" s="68">
        <f t="shared" si="12"/>
        <v>0</v>
      </c>
      <c r="X121" s="117"/>
      <c r="Y121" s="173"/>
      <c r="Z121" s="65"/>
    </row>
    <row r="122" ht="14.25" customHeight="1">
      <c r="B122" s="148"/>
      <c r="C122" s="70"/>
      <c r="D122" s="70" t="s">
        <v>847</v>
      </c>
      <c r="E122" s="118" t="s">
        <v>947</v>
      </c>
      <c r="L122" s="61"/>
      <c r="M122" s="62"/>
      <c r="N122" s="63"/>
      <c r="O122" s="62"/>
      <c r="P122" s="63"/>
      <c r="Q122" s="62"/>
      <c r="R122" s="63"/>
      <c r="S122" s="68">
        <v>20.0</v>
      </c>
      <c r="T122" s="64">
        <v>10.0</v>
      </c>
      <c r="U122" s="68">
        <v>32.0</v>
      </c>
      <c r="V122" s="64">
        <v>8.0</v>
      </c>
      <c r="W122" s="68">
        <f t="shared" si="12"/>
        <v>70</v>
      </c>
      <c r="X122" s="117"/>
      <c r="Y122" s="173"/>
      <c r="Z122" s="65"/>
    </row>
    <row r="123" ht="14.25" customHeight="1">
      <c r="B123" s="148"/>
      <c r="C123" s="70"/>
      <c r="D123" s="70" t="s">
        <v>849</v>
      </c>
      <c r="E123" s="118" t="s">
        <v>948</v>
      </c>
      <c r="L123" s="61"/>
      <c r="M123" s="62"/>
      <c r="N123" s="63"/>
      <c r="O123" s="62"/>
      <c r="P123" s="63"/>
      <c r="Q123" s="62"/>
      <c r="R123" s="63"/>
      <c r="S123" s="68">
        <v>4.0</v>
      </c>
      <c r="T123" s="64">
        <v>2.0</v>
      </c>
      <c r="U123" s="68">
        <v>0.0</v>
      </c>
      <c r="V123" s="64">
        <v>0.0</v>
      </c>
      <c r="W123" s="68">
        <f t="shared" si="12"/>
        <v>6</v>
      </c>
      <c r="X123" s="117"/>
      <c r="Y123" s="173"/>
      <c r="Z123" s="65"/>
    </row>
    <row r="124" ht="14.25" customHeight="1">
      <c r="B124" s="148"/>
      <c r="C124" s="70"/>
      <c r="D124" s="70" t="s">
        <v>858</v>
      </c>
      <c r="E124" s="118" t="s">
        <v>949</v>
      </c>
      <c r="L124" s="61"/>
      <c r="M124" s="62"/>
      <c r="N124" s="63"/>
      <c r="O124" s="62"/>
      <c r="P124" s="63"/>
      <c r="Q124" s="62"/>
      <c r="R124" s="63"/>
      <c r="S124" s="68">
        <v>0.0</v>
      </c>
      <c r="T124" s="64">
        <v>0.0</v>
      </c>
      <c r="U124" s="68">
        <v>0.0</v>
      </c>
      <c r="V124" s="64">
        <v>0.0</v>
      </c>
      <c r="W124" s="68">
        <f t="shared" si="12"/>
        <v>0</v>
      </c>
      <c r="X124" s="117"/>
      <c r="Y124" s="173"/>
      <c r="Z124" s="65"/>
    </row>
    <row r="125" ht="14.25" customHeight="1">
      <c r="B125" s="148"/>
      <c r="C125" s="70"/>
      <c r="D125" s="70" t="s">
        <v>860</v>
      </c>
      <c r="E125" s="118" t="s">
        <v>950</v>
      </c>
      <c r="L125" s="61"/>
      <c r="M125" s="62"/>
      <c r="N125" s="63"/>
      <c r="O125" s="62"/>
      <c r="P125" s="63"/>
      <c r="Q125" s="62"/>
      <c r="R125" s="63"/>
      <c r="S125" s="68">
        <v>0.0</v>
      </c>
      <c r="T125" s="64">
        <v>7.0</v>
      </c>
      <c r="U125" s="68">
        <v>0.0</v>
      </c>
      <c r="V125" s="64">
        <v>0.0</v>
      </c>
      <c r="W125" s="68">
        <f t="shared" si="12"/>
        <v>7</v>
      </c>
      <c r="X125" s="117"/>
      <c r="Y125" s="173"/>
      <c r="Z125" s="65"/>
    </row>
    <row r="126" ht="14.25" customHeight="1">
      <c r="B126" s="148"/>
      <c r="C126" s="70"/>
      <c r="D126" s="70" t="s">
        <v>862</v>
      </c>
      <c r="E126" s="118" t="s">
        <v>951</v>
      </c>
      <c r="L126" s="61"/>
      <c r="M126" s="62"/>
      <c r="N126" s="63"/>
      <c r="O126" s="62"/>
      <c r="P126" s="63"/>
      <c r="Q126" s="62"/>
      <c r="R126" s="63"/>
      <c r="S126" s="68">
        <v>3.0</v>
      </c>
      <c r="T126" s="64">
        <v>3.0</v>
      </c>
      <c r="U126" s="68">
        <v>10.0</v>
      </c>
      <c r="V126" s="64">
        <v>4.0</v>
      </c>
      <c r="W126" s="68">
        <f t="shared" si="12"/>
        <v>20</v>
      </c>
      <c r="X126" s="117"/>
      <c r="Y126" s="173"/>
      <c r="Z126" s="65"/>
    </row>
    <row r="127" ht="14.25" customHeight="1">
      <c r="B127" s="148"/>
      <c r="C127" s="70"/>
      <c r="D127" s="70" t="s">
        <v>914</v>
      </c>
      <c r="E127" s="118" t="s">
        <v>919</v>
      </c>
      <c r="L127" s="61"/>
      <c r="M127" s="62"/>
      <c r="N127" s="63"/>
      <c r="O127" s="62"/>
      <c r="P127" s="63"/>
      <c r="Q127" s="62"/>
      <c r="R127" s="63"/>
      <c r="S127" s="68">
        <v>5.0</v>
      </c>
      <c r="T127" s="64">
        <v>4.0</v>
      </c>
      <c r="U127" s="68">
        <v>0.0</v>
      </c>
      <c r="V127" s="64">
        <v>9.0</v>
      </c>
      <c r="W127" s="68">
        <f t="shared" si="12"/>
        <v>18</v>
      </c>
      <c r="X127" s="117"/>
      <c r="Y127" s="173"/>
      <c r="Z127" s="65"/>
    </row>
    <row r="128" ht="14.25" customHeight="1">
      <c r="B128" s="148"/>
      <c r="C128" s="70"/>
      <c r="D128" s="70"/>
      <c r="F128" s="118" t="s">
        <v>952</v>
      </c>
      <c r="L128" s="61"/>
      <c r="M128" s="62"/>
      <c r="N128" s="63"/>
      <c r="O128" s="62"/>
      <c r="P128" s="63"/>
      <c r="Q128" s="62"/>
      <c r="R128" s="63"/>
      <c r="S128" s="68">
        <v>3.0</v>
      </c>
      <c r="T128" s="64">
        <v>3.0</v>
      </c>
      <c r="U128" s="68">
        <v>0.0</v>
      </c>
      <c r="V128" s="64">
        <v>8.0</v>
      </c>
      <c r="W128" s="68">
        <f t="shared" si="12"/>
        <v>14</v>
      </c>
      <c r="X128" s="117"/>
      <c r="Y128" s="173"/>
      <c r="Z128" s="65"/>
    </row>
    <row r="129" ht="14.25" customHeight="1">
      <c r="B129" s="148"/>
      <c r="C129" s="70"/>
      <c r="D129" s="70"/>
      <c r="F129" s="118" t="s">
        <v>953</v>
      </c>
      <c r="L129" s="61"/>
      <c r="M129" s="62"/>
      <c r="N129" s="63"/>
      <c r="O129" s="62"/>
      <c r="P129" s="63"/>
      <c r="Q129" s="62"/>
      <c r="R129" s="63"/>
      <c r="S129" s="68">
        <v>2.0</v>
      </c>
      <c r="T129" s="64">
        <v>1.0</v>
      </c>
      <c r="U129" s="68">
        <v>0.0</v>
      </c>
      <c r="V129" s="64">
        <v>1.0</v>
      </c>
      <c r="W129" s="68">
        <f t="shared" si="12"/>
        <v>4</v>
      </c>
      <c r="X129" s="117"/>
      <c r="Y129" s="173"/>
      <c r="Z129" s="65"/>
    </row>
    <row r="130" ht="14.25" customHeight="1">
      <c r="B130" s="148"/>
      <c r="C130" s="70"/>
      <c r="D130" s="70"/>
      <c r="F130" s="118" t="s">
        <v>954</v>
      </c>
      <c r="L130" s="61"/>
      <c r="M130" s="62"/>
      <c r="N130" s="63"/>
      <c r="O130" s="62"/>
      <c r="P130" s="63"/>
      <c r="Q130" s="62"/>
      <c r="R130" s="63"/>
      <c r="S130" s="68">
        <v>0.0</v>
      </c>
      <c r="T130" s="64">
        <v>0.0</v>
      </c>
      <c r="U130" s="68">
        <v>0.0</v>
      </c>
      <c r="V130" s="64">
        <v>0.0</v>
      </c>
      <c r="W130" s="68">
        <f t="shared" si="12"/>
        <v>0</v>
      </c>
      <c r="X130" s="117"/>
      <c r="Y130" s="173"/>
      <c r="Z130" s="65"/>
    </row>
    <row r="131" ht="14.25" customHeight="1">
      <c r="B131" s="148"/>
      <c r="C131" s="70"/>
      <c r="D131" s="70"/>
      <c r="F131" s="118" t="s">
        <v>955</v>
      </c>
      <c r="L131" s="61"/>
      <c r="M131" s="62"/>
      <c r="N131" s="63"/>
      <c r="O131" s="62"/>
      <c r="P131" s="63"/>
      <c r="Q131" s="62"/>
      <c r="R131" s="63"/>
      <c r="S131" s="68">
        <v>0.0</v>
      </c>
      <c r="T131" s="64">
        <v>0.0</v>
      </c>
      <c r="U131" s="68">
        <v>0.0</v>
      </c>
      <c r="V131" s="64">
        <v>0.0</v>
      </c>
      <c r="W131" s="68">
        <f t="shared" si="12"/>
        <v>0</v>
      </c>
      <c r="X131" s="117"/>
      <c r="Y131" s="173"/>
      <c r="Z131" s="65"/>
    </row>
    <row r="132" ht="14.25" customHeight="1">
      <c r="B132" s="148"/>
      <c r="C132" s="70"/>
      <c r="D132" s="70"/>
      <c r="F132" s="118" t="s">
        <v>956</v>
      </c>
      <c r="L132" s="61"/>
      <c r="M132" s="62"/>
      <c r="N132" s="63"/>
      <c r="O132" s="62"/>
      <c r="P132" s="63"/>
      <c r="Q132" s="62"/>
      <c r="R132" s="63"/>
      <c r="S132" s="68">
        <v>0.0</v>
      </c>
      <c r="T132" s="64">
        <v>0.0</v>
      </c>
      <c r="U132" s="68">
        <v>0.0</v>
      </c>
      <c r="V132" s="64">
        <v>0.0</v>
      </c>
      <c r="W132" s="68">
        <f t="shared" si="12"/>
        <v>0</v>
      </c>
      <c r="X132" s="117"/>
      <c r="Y132" s="89"/>
      <c r="Z132" s="65"/>
    </row>
    <row r="133" ht="14.25" customHeight="1">
      <c r="B133" s="148"/>
      <c r="C133" s="70"/>
      <c r="D133" s="70"/>
      <c r="E133" s="77"/>
      <c r="L133" s="61"/>
      <c r="M133" s="62"/>
      <c r="N133" s="63"/>
      <c r="O133" s="62"/>
      <c r="P133" s="63"/>
      <c r="Q133" s="62"/>
      <c r="R133" s="63"/>
      <c r="S133" s="68"/>
      <c r="T133" s="64"/>
      <c r="U133" s="68"/>
      <c r="V133" s="64"/>
      <c r="W133" s="68"/>
      <c r="X133" s="117"/>
      <c r="Y133" s="173"/>
      <c r="Z133" s="65"/>
    </row>
    <row r="134" ht="14.25" customHeight="1">
      <c r="B134" s="148"/>
      <c r="C134" s="555" t="s">
        <v>906</v>
      </c>
      <c r="D134" s="144" t="s">
        <v>957</v>
      </c>
      <c r="E134" s="144"/>
      <c r="L134" s="61"/>
      <c r="M134" s="62"/>
      <c r="N134" s="63"/>
      <c r="O134" s="62"/>
      <c r="P134" s="63"/>
      <c r="Q134" s="62"/>
      <c r="R134" s="63"/>
      <c r="S134" s="68">
        <v>20.0</v>
      </c>
      <c r="T134" s="64">
        <v>17.0</v>
      </c>
      <c r="U134" s="68">
        <v>0.0</v>
      </c>
      <c r="V134" s="64">
        <v>13.0</v>
      </c>
      <c r="W134" s="68">
        <f t="shared" ref="W134:W150" si="13">SUM(S134:V134)</f>
        <v>50</v>
      </c>
      <c r="X134" s="117"/>
      <c r="Y134" s="173"/>
      <c r="Z134" s="65"/>
    </row>
    <row r="135" ht="14.25" customHeight="1">
      <c r="B135" s="69"/>
      <c r="C135" s="70"/>
      <c r="D135" s="70" t="s">
        <v>845</v>
      </c>
      <c r="E135" s="118" t="s">
        <v>915</v>
      </c>
      <c r="L135" s="61"/>
      <c r="M135" s="62"/>
      <c r="N135" s="63"/>
      <c r="O135" s="62"/>
      <c r="P135" s="63"/>
      <c r="Q135" s="62"/>
      <c r="R135" s="63"/>
      <c r="S135" s="68">
        <v>5.0</v>
      </c>
      <c r="T135" s="64">
        <v>13.0</v>
      </c>
      <c r="U135" s="68">
        <v>0.0</v>
      </c>
      <c r="V135" s="64">
        <v>8.0</v>
      </c>
      <c r="W135" s="68">
        <f t="shared" si="13"/>
        <v>26</v>
      </c>
      <c r="X135" s="117"/>
      <c r="Y135" s="173"/>
      <c r="Z135" s="65"/>
    </row>
    <row r="136" ht="14.25" customHeight="1">
      <c r="B136" s="69"/>
      <c r="C136" s="70"/>
      <c r="D136" s="70" t="s">
        <v>847</v>
      </c>
      <c r="E136" s="118" t="s">
        <v>912</v>
      </c>
      <c r="L136" s="61"/>
      <c r="M136" s="62"/>
      <c r="N136" s="63"/>
      <c r="O136" s="62"/>
      <c r="P136" s="63"/>
      <c r="Q136" s="62"/>
      <c r="R136" s="63"/>
      <c r="S136" s="68">
        <v>0.0</v>
      </c>
      <c r="T136" s="64">
        <v>0.0</v>
      </c>
      <c r="U136" s="68">
        <v>0.0</v>
      </c>
      <c r="V136" s="64">
        <v>0.0</v>
      </c>
      <c r="W136" s="68">
        <f t="shared" si="13"/>
        <v>0</v>
      </c>
      <c r="X136" s="117"/>
      <c r="Y136" s="173"/>
      <c r="Z136" s="65"/>
    </row>
    <row r="137" ht="14.25" customHeight="1">
      <c r="B137" s="69"/>
      <c r="C137" s="70"/>
      <c r="D137" s="70" t="s">
        <v>849</v>
      </c>
      <c r="E137" s="118" t="s">
        <v>958</v>
      </c>
      <c r="L137" s="61"/>
      <c r="M137" s="62"/>
      <c r="N137" s="63"/>
      <c r="O137" s="62"/>
      <c r="P137" s="63"/>
      <c r="Q137" s="62"/>
      <c r="R137" s="63"/>
      <c r="S137" s="68">
        <v>0.0</v>
      </c>
      <c r="T137" s="64">
        <v>0.0</v>
      </c>
      <c r="U137" s="68">
        <v>0.0</v>
      </c>
      <c r="V137" s="64">
        <v>0.0</v>
      </c>
      <c r="W137" s="68">
        <f t="shared" si="13"/>
        <v>0</v>
      </c>
      <c r="X137" s="117"/>
      <c r="Y137" s="173"/>
      <c r="Z137" s="65"/>
    </row>
    <row r="138" ht="14.25" customHeight="1">
      <c r="B138" s="69"/>
      <c r="C138" s="70"/>
      <c r="D138" s="70" t="s">
        <v>858</v>
      </c>
      <c r="E138" s="118" t="s">
        <v>959</v>
      </c>
      <c r="L138" s="61"/>
      <c r="M138" s="62"/>
      <c r="N138" s="63"/>
      <c r="O138" s="62"/>
      <c r="P138" s="63"/>
      <c r="Q138" s="62"/>
      <c r="R138" s="63"/>
      <c r="S138" s="68">
        <v>3.0</v>
      </c>
      <c r="T138" s="64">
        <v>4.0</v>
      </c>
      <c r="U138" s="68">
        <v>0.0</v>
      </c>
      <c r="V138" s="64">
        <v>0.0</v>
      </c>
      <c r="W138" s="68">
        <f t="shared" si="13"/>
        <v>7</v>
      </c>
      <c r="X138" s="117"/>
      <c r="Y138" s="173"/>
      <c r="Z138" s="65"/>
    </row>
    <row r="139" ht="14.25" customHeight="1">
      <c r="B139" s="69"/>
      <c r="C139" s="70"/>
      <c r="D139" s="70" t="s">
        <v>860</v>
      </c>
      <c r="E139" s="118" t="s">
        <v>908</v>
      </c>
      <c r="L139" s="61"/>
      <c r="M139" s="62"/>
      <c r="N139" s="63"/>
      <c r="O139" s="62"/>
      <c r="P139" s="63"/>
      <c r="Q139" s="62"/>
      <c r="R139" s="63"/>
      <c r="S139" s="68">
        <v>0.0</v>
      </c>
      <c r="T139" s="64">
        <v>0.0</v>
      </c>
      <c r="U139" s="68">
        <v>0.0</v>
      </c>
      <c r="V139" s="64">
        <v>0.0</v>
      </c>
      <c r="W139" s="68">
        <f t="shared" si="13"/>
        <v>0</v>
      </c>
      <c r="X139" s="117"/>
      <c r="Y139" s="173"/>
      <c r="Z139" s="65"/>
    </row>
    <row r="140" ht="14.25" customHeight="1">
      <c r="B140" s="69"/>
      <c r="C140" s="70"/>
      <c r="D140" s="70" t="s">
        <v>862</v>
      </c>
      <c r="E140" s="118" t="s">
        <v>909</v>
      </c>
      <c r="L140" s="61"/>
      <c r="M140" s="62"/>
      <c r="N140" s="63"/>
      <c r="O140" s="62"/>
      <c r="P140" s="63"/>
      <c r="Q140" s="62"/>
      <c r="R140" s="63"/>
      <c r="S140" s="68">
        <v>0.0</v>
      </c>
      <c r="T140" s="64">
        <v>0.0</v>
      </c>
      <c r="U140" s="68">
        <v>0.0</v>
      </c>
      <c r="V140" s="64">
        <v>0.0</v>
      </c>
      <c r="W140" s="68">
        <f t="shared" si="13"/>
        <v>0</v>
      </c>
      <c r="X140" s="117"/>
      <c r="Y140" s="173"/>
      <c r="Z140" s="65"/>
    </row>
    <row r="141" ht="14.25" customHeight="1">
      <c r="B141" s="69"/>
      <c r="C141" s="70"/>
      <c r="D141" s="70" t="s">
        <v>914</v>
      </c>
      <c r="E141" s="118" t="s">
        <v>910</v>
      </c>
      <c r="L141" s="61"/>
      <c r="M141" s="62"/>
      <c r="N141" s="63"/>
      <c r="O141" s="62"/>
      <c r="P141" s="63"/>
      <c r="Q141" s="62"/>
      <c r="R141" s="63"/>
      <c r="S141" s="68">
        <v>2.0</v>
      </c>
      <c r="T141" s="64">
        <v>0.0</v>
      </c>
      <c r="U141" s="68">
        <v>0.0</v>
      </c>
      <c r="V141" s="64">
        <v>0.0</v>
      </c>
      <c r="W141" s="68">
        <f t="shared" si="13"/>
        <v>2</v>
      </c>
      <c r="X141" s="117"/>
      <c r="Y141" s="173"/>
      <c r="Z141" s="65"/>
    </row>
    <row r="142" ht="14.25" customHeight="1">
      <c r="B142" s="69"/>
      <c r="C142" s="70"/>
      <c r="D142" s="70" t="s">
        <v>916</v>
      </c>
      <c r="E142" s="118" t="s">
        <v>913</v>
      </c>
      <c r="L142" s="61"/>
      <c r="M142" s="62"/>
      <c r="N142" s="63"/>
      <c r="O142" s="62"/>
      <c r="P142" s="63"/>
      <c r="Q142" s="62"/>
      <c r="R142" s="63"/>
      <c r="S142" s="68">
        <v>0.0</v>
      </c>
      <c r="T142" s="64">
        <v>0.0</v>
      </c>
      <c r="U142" s="68">
        <v>0.0</v>
      </c>
      <c r="V142" s="64">
        <v>0.0</v>
      </c>
      <c r="W142" s="68">
        <f t="shared" si="13"/>
        <v>0</v>
      </c>
      <c r="X142" s="117"/>
      <c r="Y142" s="173"/>
      <c r="Z142" s="65"/>
    </row>
    <row r="143" ht="14.25" customHeight="1">
      <c r="B143" s="69"/>
      <c r="C143" s="70"/>
      <c r="D143" s="70" t="s">
        <v>960</v>
      </c>
      <c r="E143" s="118" t="s">
        <v>961</v>
      </c>
      <c r="L143" s="61"/>
      <c r="M143" s="62"/>
      <c r="N143" s="63"/>
      <c r="O143" s="62"/>
      <c r="P143" s="63"/>
      <c r="Q143" s="62"/>
      <c r="R143" s="63"/>
      <c r="S143" s="68">
        <v>8.0</v>
      </c>
      <c r="T143" s="64">
        <v>0.0</v>
      </c>
      <c r="U143" s="68">
        <v>0.0</v>
      </c>
      <c r="V143" s="64">
        <v>3.0</v>
      </c>
      <c r="W143" s="68">
        <f t="shared" si="13"/>
        <v>11</v>
      </c>
      <c r="X143" s="117"/>
      <c r="Y143" s="173"/>
      <c r="Z143" s="65"/>
    </row>
    <row r="144" ht="14.25" customHeight="1">
      <c r="B144" s="69"/>
      <c r="C144" s="70"/>
      <c r="D144" s="70" t="s">
        <v>962</v>
      </c>
      <c r="E144" s="118" t="s">
        <v>963</v>
      </c>
      <c r="L144" s="61"/>
      <c r="M144" s="62"/>
      <c r="N144" s="63"/>
      <c r="O144" s="62"/>
      <c r="P144" s="63"/>
      <c r="Q144" s="62"/>
      <c r="R144" s="63"/>
      <c r="S144" s="68">
        <v>2.0</v>
      </c>
      <c r="T144" s="64">
        <v>0.0</v>
      </c>
      <c r="U144" s="68">
        <v>0.0</v>
      </c>
      <c r="V144" s="64">
        <v>2.0</v>
      </c>
      <c r="W144" s="68">
        <f t="shared" si="13"/>
        <v>4</v>
      </c>
      <c r="X144" s="117"/>
      <c r="Y144" s="173"/>
      <c r="Z144" s="65"/>
    </row>
    <row r="145" ht="14.25" customHeight="1">
      <c r="B145" s="69"/>
      <c r="C145" s="70"/>
      <c r="D145" s="70"/>
      <c r="F145" s="118" t="s">
        <v>964</v>
      </c>
      <c r="L145" s="61"/>
      <c r="M145" s="62"/>
      <c r="N145" s="63"/>
      <c r="O145" s="62"/>
      <c r="P145" s="63"/>
      <c r="Q145" s="62"/>
      <c r="R145" s="63"/>
      <c r="S145" s="68">
        <v>0.0</v>
      </c>
      <c r="T145" s="64">
        <v>0.0</v>
      </c>
      <c r="U145" s="68">
        <v>0.0</v>
      </c>
      <c r="V145" s="64">
        <v>0.0</v>
      </c>
      <c r="W145" s="68">
        <f t="shared" si="13"/>
        <v>0</v>
      </c>
      <c r="X145" s="117"/>
      <c r="Y145" s="173"/>
      <c r="Z145" s="65"/>
    </row>
    <row r="146" ht="14.25" customHeight="1">
      <c r="B146" s="69"/>
      <c r="C146" s="70"/>
      <c r="D146" s="70"/>
      <c r="F146" s="118" t="s">
        <v>921</v>
      </c>
      <c r="L146" s="61"/>
      <c r="M146" s="62"/>
      <c r="N146" s="63"/>
      <c r="O146" s="62"/>
      <c r="P146" s="63"/>
      <c r="Q146" s="62"/>
      <c r="R146" s="63"/>
      <c r="S146" s="68">
        <v>0.0</v>
      </c>
      <c r="T146" s="64">
        <v>0.0</v>
      </c>
      <c r="U146" s="68">
        <v>0.0</v>
      </c>
      <c r="V146" s="64">
        <v>0.0</v>
      </c>
      <c r="W146" s="68">
        <f t="shared" si="13"/>
        <v>0</v>
      </c>
      <c r="X146" s="117"/>
      <c r="Y146" s="173"/>
      <c r="Z146" s="65"/>
    </row>
    <row r="147" ht="14.25" customHeight="1">
      <c r="B147" s="69"/>
      <c r="C147" s="70"/>
      <c r="D147" s="70"/>
      <c r="F147" s="118" t="s">
        <v>965</v>
      </c>
      <c r="L147" s="61"/>
      <c r="M147" s="62"/>
      <c r="N147" s="63"/>
      <c r="O147" s="62"/>
      <c r="P147" s="63"/>
      <c r="Q147" s="62"/>
      <c r="R147" s="63"/>
      <c r="S147" s="68">
        <v>0.0</v>
      </c>
      <c r="T147" s="64">
        <v>0.0</v>
      </c>
      <c r="U147" s="68">
        <v>0.0</v>
      </c>
      <c r="V147" s="64">
        <v>0.0</v>
      </c>
      <c r="W147" s="68">
        <f t="shared" si="13"/>
        <v>0</v>
      </c>
      <c r="X147" s="117"/>
      <c r="Y147" s="173"/>
      <c r="Z147" s="65"/>
    </row>
    <row r="148" ht="14.25" customHeight="1">
      <c r="B148" s="69"/>
      <c r="C148" s="70"/>
      <c r="D148" s="70"/>
      <c r="F148" s="118" t="s">
        <v>923</v>
      </c>
      <c r="L148" s="61"/>
      <c r="M148" s="62"/>
      <c r="N148" s="63"/>
      <c r="O148" s="62"/>
      <c r="P148" s="63"/>
      <c r="Q148" s="62"/>
      <c r="R148" s="63"/>
      <c r="S148" s="68">
        <v>1.0</v>
      </c>
      <c r="T148" s="64">
        <v>0.0</v>
      </c>
      <c r="U148" s="68">
        <v>0.0</v>
      </c>
      <c r="V148" s="64">
        <v>0.0</v>
      </c>
      <c r="W148" s="68">
        <f t="shared" si="13"/>
        <v>1</v>
      </c>
      <c r="X148" s="117"/>
      <c r="Y148" s="173"/>
      <c r="Z148" s="65"/>
    </row>
    <row r="149" ht="14.25" customHeight="1">
      <c r="B149" s="69"/>
      <c r="C149" s="70"/>
      <c r="D149" s="70"/>
      <c r="F149" s="118" t="s">
        <v>966</v>
      </c>
      <c r="L149" s="61"/>
      <c r="M149" s="62"/>
      <c r="N149" s="63"/>
      <c r="O149" s="62"/>
      <c r="P149" s="63"/>
      <c r="Q149" s="62"/>
      <c r="R149" s="63"/>
      <c r="S149" s="68">
        <v>1.0</v>
      </c>
      <c r="T149" s="64">
        <v>0.0</v>
      </c>
      <c r="U149" s="68">
        <v>0.0</v>
      </c>
      <c r="V149" s="64">
        <v>0.0</v>
      </c>
      <c r="W149" s="68">
        <f t="shared" si="13"/>
        <v>1</v>
      </c>
      <c r="X149" s="117"/>
      <c r="Y149" s="173"/>
      <c r="Z149" s="65"/>
    </row>
    <row r="150" ht="14.25" customHeight="1">
      <c r="B150" s="69"/>
      <c r="C150" s="70"/>
      <c r="D150" s="70"/>
      <c r="F150" s="118" t="s">
        <v>967</v>
      </c>
      <c r="L150" s="61"/>
      <c r="M150" s="62"/>
      <c r="N150" s="63"/>
      <c r="O150" s="62"/>
      <c r="P150" s="63"/>
      <c r="Q150" s="62"/>
      <c r="R150" s="63"/>
      <c r="S150" s="68">
        <v>0.0</v>
      </c>
      <c r="T150" s="64">
        <v>0.0</v>
      </c>
      <c r="U150" s="68">
        <v>0.0</v>
      </c>
      <c r="V150" s="64">
        <v>2.0</v>
      </c>
      <c r="W150" s="68">
        <f t="shared" si="13"/>
        <v>2</v>
      </c>
      <c r="X150" s="117"/>
      <c r="Y150" s="89"/>
      <c r="Z150" s="65"/>
    </row>
    <row r="151" ht="14.25" customHeight="1">
      <c r="B151" s="69"/>
      <c r="C151" s="70"/>
      <c r="D151" s="70"/>
      <c r="E151" s="77"/>
      <c r="L151" s="61"/>
      <c r="M151" s="62"/>
      <c r="N151" s="63"/>
      <c r="O151" s="62"/>
      <c r="P151" s="63"/>
      <c r="Q151" s="62"/>
      <c r="R151" s="63"/>
      <c r="S151" s="68"/>
      <c r="T151" s="64"/>
      <c r="U151" s="68"/>
      <c r="V151" s="64"/>
      <c r="W151" s="68"/>
      <c r="X151" s="117"/>
      <c r="Y151" s="173"/>
      <c r="Z151" s="65"/>
    </row>
    <row r="152" ht="14.25" customHeight="1">
      <c r="B152" s="148" t="s">
        <v>968</v>
      </c>
      <c r="C152" s="183" t="s">
        <v>969</v>
      </c>
      <c r="D152" s="70"/>
      <c r="E152" s="70"/>
      <c r="L152" s="61"/>
      <c r="M152" s="62"/>
      <c r="N152" s="63"/>
      <c r="O152" s="62"/>
      <c r="P152" s="63"/>
      <c r="Q152" s="62"/>
      <c r="R152" s="63"/>
      <c r="S152" s="68">
        <v>112.0</v>
      </c>
      <c r="T152" s="64">
        <v>19.0</v>
      </c>
      <c r="U152" s="68">
        <v>7.0</v>
      </c>
      <c r="V152" s="64">
        <v>24.0</v>
      </c>
      <c r="W152" s="68">
        <f t="shared" ref="W152:W172" si="14">SUM(S152:V152)</f>
        <v>162</v>
      </c>
      <c r="X152" s="117"/>
      <c r="Y152" s="173"/>
      <c r="Z152" s="65"/>
    </row>
    <row r="153" ht="14.25" customHeight="1">
      <c r="B153" s="69" t="s">
        <v>970</v>
      </c>
      <c r="C153" s="214" t="s">
        <v>866</v>
      </c>
      <c r="D153" s="144" t="s">
        <v>971</v>
      </c>
      <c r="E153" s="144"/>
      <c r="L153" s="61"/>
      <c r="M153" s="62"/>
      <c r="N153" s="63"/>
      <c r="O153" s="62"/>
      <c r="P153" s="63"/>
      <c r="Q153" s="62"/>
      <c r="R153" s="63"/>
      <c r="S153" s="68">
        <v>101.0</v>
      </c>
      <c r="T153" s="64">
        <v>15.0</v>
      </c>
      <c r="U153" s="68">
        <v>5.0</v>
      </c>
      <c r="V153" s="64">
        <v>20.0</v>
      </c>
      <c r="W153" s="68">
        <f t="shared" si="14"/>
        <v>141</v>
      </c>
      <c r="X153" s="117"/>
      <c r="Y153" s="173"/>
      <c r="Z153" s="65"/>
    </row>
    <row r="154" ht="14.25" customHeight="1">
      <c r="B154" s="148" t="s">
        <v>403</v>
      </c>
      <c r="C154" s="70"/>
      <c r="D154" s="70" t="s">
        <v>972</v>
      </c>
      <c r="L154" s="61"/>
      <c r="M154" s="62"/>
      <c r="N154" s="63"/>
      <c r="O154" s="62"/>
      <c r="P154" s="63"/>
      <c r="Q154" s="62"/>
      <c r="R154" s="63"/>
      <c r="S154" s="68">
        <v>10.0</v>
      </c>
      <c r="T154" s="64">
        <v>15.0</v>
      </c>
      <c r="U154" s="68">
        <v>3.0</v>
      </c>
      <c r="V154" s="64">
        <v>15.0</v>
      </c>
      <c r="W154" s="68">
        <f t="shared" si="14"/>
        <v>43</v>
      </c>
      <c r="X154" s="117"/>
      <c r="Y154" s="173"/>
      <c r="Z154" s="65"/>
    </row>
    <row r="155" ht="14.25" customHeight="1">
      <c r="B155" s="148"/>
      <c r="C155" s="70"/>
      <c r="D155" s="70" t="s">
        <v>973</v>
      </c>
      <c r="L155" s="61"/>
      <c r="M155" s="62"/>
      <c r="N155" s="63"/>
      <c r="O155" s="62"/>
      <c r="P155" s="63"/>
      <c r="Q155" s="62"/>
      <c r="R155" s="63"/>
      <c r="S155" s="68">
        <v>91.0</v>
      </c>
      <c r="T155" s="64">
        <v>11.0</v>
      </c>
      <c r="U155" s="68">
        <v>2.0</v>
      </c>
      <c r="V155" s="64">
        <v>5.0</v>
      </c>
      <c r="W155" s="68">
        <f t="shared" si="14"/>
        <v>109</v>
      </c>
      <c r="X155" s="117"/>
      <c r="Y155" s="173"/>
      <c r="Z155" s="65"/>
    </row>
    <row r="156" ht="14.25" customHeight="1">
      <c r="B156" s="148"/>
      <c r="C156" s="70"/>
      <c r="D156" s="197" t="s">
        <v>974</v>
      </c>
      <c r="L156" s="61"/>
      <c r="M156" s="62"/>
      <c r="N156" s="63"/>
      <c r="O156" s="62"/>
      <c r="P156" s="63"/>
      <c r="Q156" s="62"/>
      <c r="R156" s="63"/>
      <c r="S156" s="68">
        <v>58.0</v>
      </c>
      <c r="T156" s="64">
        <v>5.0</v>
      </c>
      <c r="U156" s="68">
        <v>2.0</v>
      </c>
      <c r="V156" s="64">
        <v>5.0</v>
      </c>
      <c r="W156" s="68">
        <f t="shared" si="14"/>
        <v>70</v>
      </c>
      <c r="X156" s="117"/>
      <c r="Y156" s="173"/>
      <c r="Z156" s="65"/>
    </row>
    <row r="157" ht="14.25" customHeight="1">
      <c r="B157" s="148"/>
      <c r="C157" s="70"/>
      <c r="D157" s="70" t="s">
        <v>975</v>
      </c>
      <c r="E157" s="70"/>
      <c r="L157" s="61"/>
      <c r="M157" s="62"/>
      <c r="N157" s="63"/>
      <c r="O157" s="62"/>
      <c r="P157" s="63"/>
      <c r="Q157" s="62"/>
      <c r="R157" s="63"/>
      <c r="S157" s="68">
        <v>8.0</v>
      </c>
      <c r="T157" s="64">
        <v>0.0</v>
      </c>
      <c r="U157" s="68">
        <v>0.0</v>
      </c>
      <c r="V157" s="64">
        <v>0.0</v>
      </c>
      <c r="W157" s="68">
        <f t="shared" si="14"/>
        <v>8</v>
      </c>
      <c r="X157" s="117"/>
      <c r="Y157" s="173"/>
      <c r="Z157" s="65"/>
    </row>
    <row r="158" ht="14.25" customHeight="1">
      <c r="B158" s="148"/>
      <c r="C158" s="70"/>
      <c r="D158" s="70" t="s">
        <v>976</v>
      </c>
      <c r="E158" s="70"/>
      <c r="L158" s="61"/>
      <c r="M158" s="62"/>
      <c r="N158" s="63"/>
      <c r="O158" s="62"/>
      <c r="P158" s="63"/>
      <c r="Q158" s="62"/>
      <c r="R158" s="63"/>
      <c r="S158" s="68">
        <v>50.0</v>
      </c>
      <c r="T158" s="64">
        <v>5.0</v>
      </c>
      <c r="U158" s="68">
        <v>2.0</v>
      </c>
      <c r="V158" s="64">
        <v>5.0</v>
      </c>
      <c r="W158" s="68">
        <f t="shared" si="14"/>
        <v>62</v>
      </c>
      <c r="X158" s="117"/>
      <c r="Y158" s="173"/>
      <c r="Z158" s="65"/>
    </row>
    <row r="159" ht="14.25" customHeight="1">
      <c r="B159" s="148"/>
      <c r="C159" s="143"/>
      <c r="D159" s="197" t="s">
        <v>977</v>
      </c>
      <c r="L159" s="61"/>
      <c r="M159" s="62"/>
      <c r="N159" s="63"/>
      <c r="O159" s="62"/>
      <c r="P159" s="63"/>
      <c r="Q159" s="62"/>
      <c r="R159" s="63"/>
      <c r="S159" s="68">
        <v>33.0</v>
      </c>
      <c r="T159" s="64">
        <v>6.0</v>
      </c>
      <c r="U159" s="68">
        <v>0.0</v>
      </c>
      <c r="V159" s="64">
        <v>0.0</v>
      </c>
      <c r="W159" s="68">
        <f t="shared" si="14"/>
        <v>39</v>
      </c>
      <c r="X159" s="117"/>
      <c r="Y159" s="173"/>
      <c r="Z159" s="65"/>
    </row>
    <row r="160" ht="14.25" customHeight="1">
      <c r="B160" s="69" t="s">
        <v>978</v>
      </c>
      <c r="C160" s="214" t="s">
        <v>906</v>
      </c>
      <c r="D160" s="144" t="s">
        <v>979</v>
      </c>
      <c r="E160" s="143"/>
      <c r="L160" s="61"/>
      <c r="M160" s="62"/>
      <c r="N160" s="63"/>
      <c r="O160" s="62"/>
      <c r="P160" s="63"/>
      <c r="Q160" s="62"/>
      <c r="R160" s="63"/>
      <c r="S160" s="68">
        <v>8.0</v>
      </c>
      <c r="T160" s="64">
        <v>4.0</v>
      </c>
      <c r="U160" s="68">
        <v>2.0</v>
      </c>
      <c r="V160" s="64">
        <v>4.0</v>
      </c>
      <c r="W160" s="68">
        <f t="shared" si="14"/>
        <v>18</v>
      </c>
      <c r="X160" s="117"/>
      <c r="Y160" s="173"/>
      <c r="Z160" s="65"/>
    </row>
    <row r="161" ht="14.25" customHeight="1">
      <c r="B161" s="148"/>
      <c r="C161" s="70"/>
      <c r="D161" s="70" t="s">
        <v>972</v>
      </c>
      <c r="L161" s="61"/>
      <c r="M161" s="62"/>
      <c r="N161" s="63"/>
      <c r="O161" s="62"/>
      <c r="P161" s="63"/>
      <c r="Q161" s="62"/>
      <c r="R161" s="63"/>
      <c r="S161" s="68">
        <v>3.0</v>
      </c>
      <c r="T161" s="64">
        <v>0.0</v>
      </c>
      <c r="U161" s="68">
        <v>2.0</v>
      </c>
      <c r="V161" s="64">
        <v>4.0</v>
      </c>
      <c r="W161" s="68">
        <f t="shared" si="14"/>
        <v>9</v>
      </c>
      <c r="X161" s="117"/>
      <c r="Y161" s="173"/>
      <c r="Z161" s="65"/>
    </row>
    <row r="162" ht="14.25" customHeight="1">
      <c r="B162" s="148"/>
      <c r="C162" s="70"/>
      <c r="D162" s="70" t="s">
        <v>980</v>
      </c>
      <c r="L162" s="61"/>
      <c r="M162" s="62"/>
      <c r="N162" s="63"/>
      <c r="O162" s="62"/>
      <c r="P162" s="63"/>
      <c r="Q162" s="62"/>
      <c r="R162" s="63"/>
      <c r="S162" s="68">
        <v>3.0</v>
      </c>
      <c r="T162" s="64">
        <v>0.0</v>
      </c>
      <c r="U162" s="68">
        <v>0.0</v>
      </c>
      <c r="V162" s="64">
        <v>0.0</v>
      </c>
      <c r="W162" s="68">
        <f t="shared" si="14"/>
        <v>3</v>
      </c>
      <c r="X162" s="117"/>
      <c r="Y162" s="173"/>
      <c r="Z162" s="65"/>
    </row>
    <row r="163" ht="14.25" customHeight="1">
      <c r="B163" s="148"/>
      <c r="C163" s="70"/>
      <c r="D163" s="70" t="s">
        <v>981</v>
      </c>
      <c r="L163" s="61"/>
      <c r="M163" s="62"/>
      <c r="N163" s="63"/>
      <c r="O163" s="62"/>
      <c r="P163" s="63"/>
      <c r="Q163" s="62"/>
      <c r="R163" s="63"/>
      <c r="S163" s="68">
        <v>2.0</v>
      </c>
      <c r="T163" s="64">
        <v>0.0</v>
      </c>
      <c r="U163" s="68">
        <v>0.0</v>
      </c>
      <c r="V163" s="64">
        <v>0.0</v>
      </c>
      <c r="W163" s="68">
        <f t="shared" si="14"/>
        <v>2</v>
      </c>
      <c r="X163" s="117"/>
      <c r="Y163" s="173"/>
      <c r="Z163" s="65"/>
    </row>
    <row r="164" ht="14.25" customHeight="1">
      <c r="B164" s="69" t="s">
        <v>982</v>
      </c>
      <c r="C164" s="214" t="s">
        <v>924</v>
      </c>
      <c r="D164" s="183" t="s">
        <v>983</v>
      </c>
      <c r="E164" s="70"/>
      <c r="L164" s="61"/>
      <c r="M164" s="62"/>
      <c r="N164" s="63"/>
      <c r="O164" s="62"/>
      <c r="P164" s="63"/>
      <c r="Q164" s="62"/>
      <c r="R164" s="63"/>
      <c r="S164" s="68">
        <v>3.0</v>
      </c>
      <c r="T164" s="64">
        <v>0.0</v>
      </c>
      <c r="U164" s="68">
        <v>0.0</v>
      </c>
      <c r="V164" s="64">
        <v>0.0</v>
      </c>
      <c r="W164" s="68">
        <f t="shared" si="14"/>
        <v>3</v>
      </c>
      <c r="X164" s="117"/>
      <c r="Y164" s="173"/>
      <c r="Z164" s="65"/>
    </row>
    <row r="165" ht="14.25" customHeight="1">
      <c r="B165" s="69"/>
      <c r="C165" s="70"/>
      <c r="D165" s="168" t="s">
        <v>984</v>
      </c>
      <c r="L165" s="61"/>
      <c r="M165" s="62"/>
      <c r="N165" s="63"/>
      <c r="O165" s="62"/>
      <c r="P165" s="63"/>
      <c r="Q165" s="62"/>
      <c r="R165" s="63"/>
      <c r="S165" s="68">
        <v>7.0</v>
      </c>
      <c r="T165" s="64">
        <v>0.0</v>
      </c>
      <c r="U165" s="68">
        <v>0.0</v>
      </c>
      <c r="V165" s="64">
        <v>0.0</v>
      </c>
      <c r="W165" s="68">
        <f t="shared" si="14"/>
        <v>7</v>
      </c>
      <c r="X165" s="117"/>
      <c r="Y165" s="173"/>
      <c r="Z165" s="65"/>
    </row>
    <row r="166" ht="14.25" customHeight="1">
      <c r="B166" s="69" t="s">
        <v>403</v>
      </c>
      <c r="C166" s="70"/>
      <c r="D166" s="77" t="s">
        <v>133</v>
      </c>
      <c r="E166" s="77"/>
      <c r="L166" s="61"/>
      <c r="M166" s="62"/>
      <c r="N166" s="63"/>
      <c r="O166" s="62"/>
      <c r="P166" s="63"/>
      <c r="Q166" s="62"/>
      <c r="R166" s="63"/>
      <c r="S166" s="68">
        <v>0.0</v>
      </c>
      <c r="T166" s="64">
        <v>0.0</v>
      </c>
      <c r="U166" s="68">
        <v>0.0</v>
      </c>
      <c r="V166" s="64">
        <v>0.0</v>
      </c>
      <c r="W166" s="68">
        <f t="shared" si="14"/>
        <v>0</v>
      </c>
      <c r="X166" s="117"/>
      <c r="Y166" s="173"/>
      <c r="Z166" s="65"/>
    </row>
    <row r="167" ht="14.25" customHeight="1">
      <c r="B167" s="69"/>
      <c r="C167" s="70"/>
      <c r="D167" s="70" t="s">
        <v>985</v>
      </c>
      <c r="E167" s="70"/>
      <c r="L167" s="61"/>
      <c r="M167" s="62"/>
      <c r="N167" s="63"/>
      <c r="O167" s="62"/>
      <c r="P167" s="63"/>
      <c r="Q167" s="62"/>
      <c r="R167" s="63"/>
      <c r="S167" s="68">
        <v>0.0</v>
      </c>
      <c r="T167" s="64">
        <v>0.0</v>
      </c>
      <c r="U167" s="68">
        <v>0.0</v>
      </c>
      <c r="V167" s="64">
        <v>0.0</v>
      </c>
      <c r="W167" s="68">
        <f t="shared" si="14"/>
        <v>0</v>
      </c>
      <c r="X167" s="117"/>
      <c r="Y167" s="173"/>
      <c r="Z167" s="65"/>
    </row>
    <row r="168" ht="14.25" customHeight="1">
      <c r="B168" s="69"/>
      <c r="C168" s="70"/>
      <c r="D168" s="70" t="s">
        <v>986</v>
      </c>
      <c r="E168" s="70"/>
      <c r="L168" s="61"/>
      <c r="M168" s="62"/>
      <c r="N168" s="63"/>
      <c r="O168" s="62"/>
      <c r="P168" s="63"/>
      <c r="Q168" s="62"/>
      <c r="R168" s="63"/>
      <c r="S168" s="68">
        <v>0.0</v>
      </c>
      <c r="T168" s="64">
        <v>0.0</v>
      </c>
      <c r="U168" s="68">
        <v>0.0</v>
      </c>
      <c r="V168" s="64">
        <v>0.0</v>
      </c>
      <c r="W168" s="68">
        <f t="shared" si="14"/>
        <v>0</v>
      </c>
      <c r="X168" s="117"/>
      <c r="Y168" s="173"/>
      <c r="Z168" s="65"/>
    </row>
    <row r="169" ht="14.25" customHeight="1">
      <c r="B169" s="69"/>
      <c r="C169" s="70"/>
      <c r="D169" s="70" t="s">
        <v>987</v>
      </c>
      <c r="E169" s="70"/>
      <c r="L169" s="61"/>
      <c r="M169" s="62"/>
      <c r="N169" s="63"/>
      <c r="O169" s="62"/>
      <c r="P169" s="63"/>
      <c r="Q169" s="62"/>
      <c r="R169" s="63"/>
      <c r="S169" s="68">
        <v>2.0</v>
      </c>
      <c r="T169" s="64">
        <v>0.0</v>
      </c>
      <c r="U169" s="68">
        <v>0.0</v>
      </c>
      <c r="V169" s="64">
        <v>0.0</v>
      </c>
      <c r="W169" s="68">
        <f t="shared" si="14"/>
        <v>2</v>
      </c>
      <c r="X169" s="117"/>
      <c r="Y169" s="173"/>
      <c r="Z169" s="65"/>
    </row>
    <row r="170" ht="14.25" customHeight="1">
      <c r="B170" s="69"/>
      <c r="C170" s="70"/>
      <c r="D170" s="70" t="s">
        <v>988</v>
      </c>
      <c r="E170" s="70"/>
      <c r="L170" s="61"/>
      <c r="M170" s="62"/>
      <c r="N170" s="63"/>
      <c r="O170" s="62"/>
      <c r="P170" s="63"/>
      <c r="Q170" s="62"/>
      <c r="R170" s="63"/>
      <c r="S170" s="68">
        <v>0.0</v>
      </c>
      <c r="T170" s="64">
        <v>0.0</v>
      </c>
      <c r="U170" s="68">
        <v>0.0</v>
      </c>
      <c r="V170" s="64">
        <v>0.0</v>
      </c>
      <c r="W170" s="68">
        <f t="shared" si="14"/>
        <v>0</v>
      </c>
      <c r="X170" s="117"/>
      <c r="Y170" s="173"/>
      <c r="Z170" s="65"/>
    </row>
    <row r="171" ht="14.25" customHeight="1">
      <c r="B171" s="69"/>
      <c r="C171" s="70"/>
      <c r="D171" s="70" t="s">
        <v>989</v>
      </c>
      <c r="E171" s="70"/>
      <c r="L171" s="61"/>
      <c r="M171" s="62"/>
      <c r="N171" s="63"/>
      <c r="O171" s="62"/>
      <c r="P171" s="63"/>
      <c r="Q171" s="62"/>
      <c r="R171" s="63"/>
      <c r="S171" s="68">
        <v>3.0</v>
      </c>
      <c r="T171" s="64">
        <v>0.0</v>
      </c>
      <c r="U171" s="68">
        <v>0.0</v>
      </c>
      <c r="V171" s="64">
        <v>0.0</v>
      </c>
      <c r="W171" s="68">
        <f t="shared" si="14"/>
        <v>3</v>
      </c>
      <c r="X171" s="117"/>
      <c r="Y171" s="173"/>
      <c r="Z171" s="65"/>
    </row>
    <row r="172" ht="14.25" customHeight="1">
      <c r="B172" s="69"/>
      <c r="C172" s="70"/>
      <c r="D172" s="70" t="s">
        <v>990</v>
      </c>
      <c r="E172" s="70"/>
      <c r="L172" s="61"/>
      <c r="M172" s="62"/>
      <c r="N172" s="63"/>
      <c r="O172" s="62"/>
      <c r="P172" s="63"/>
      <c r="Q172" s="62"/>
      <c r="R172" s="63"/>
      <c r="S172" s="68">
        <v>2.0</v>
      </c>
      <c r="T172" s="64">
        <v>0.0</v>
      </c>
      <c r="U172" s="68">
        <v>0.0</v>
      </c>
      <c r="V172" s="64">
        <v>0.0</v>
      </c>
      <c r="W172" s="68">
        <f t="shared" si="14"/>
        <v>2</v>
      </c>
      <c r="X172" s="117"/>
      <c r="Y172" s="173"/>
      <c r="Z172" s="65"/>
    </row>
    <row r="173" ht="14.25" customHeight="1">
      <c r="B173" s="69"/>
      <c r="C173" s="70"/>
      <c r="D173" s="77"/>
      <c r="E173" s="70"/>
      <c r="L173" s="61"/>
      <c r="M173" s="62"/>
      <c r="N173" s="63"/>
      <c r="O173" s="62"/>
      <c r="P173" s="63"/>
      <c r="Q173" s="62"/>
      <c r="R173" s="63"/>
      <c r="S173" s="68"/>
      <c r="T173" s="64"/>
      <c r="U173" s="68"/>
      <c r="V173" s="64"/>
      <c r="W173" s="68"/>
      <c r="X173" s="117"/>
      <c r="Y173" s="173"/>
      <c r="Z173" s="65"/>
    </row>
    <row r="174" ht="14.25" customHeight="1">
      <c r="B174" s="148" t="s">
        <v>991</v>
      </c>
      <c r="C174" s="144" t="s">
        <v>992</v>
      </c>
      <c r="D174" s="144"/>
      <c r="E174" s="144"/>
      <c r="L174" s="61"/>
      <c r="M174" s="62"/>
      <c r="N174" s="63"/>
      <c r="O174" s="62"/>
      <c r="P174" s="63"/>
      <c r="Q174" s="62"/>
      <c r="R174" s="63"/>
      <c r="S174" s="68"/>
      <c r="T174" s="64"/>
      <c r="U174" s="68"/>
      <c r="V174" s="64"/>
      <c r="W174" s="68"/>
      <c r="X174" s="117"/>
      <c r="Y174" s="173"/>
      <c r="Z174" s="65"/>
    </row>
    <row r="175" ht="14.25" customHeight="1">
      <c r="B175" s="69"/>
      <c r="C175" s="144"/>
      <c r="D175" s="144" t="s">
        <v>993</v>
      </c>
      <c r="E175" s="144"/>
      <c r="L175" s="61"/>
      <c r="M175" s="62"/>
      <c r="N175" s="63"/>
      <c r="O175" s="62"/>
      <c r="P175" s="63"/>
      <c r="Q175" s="62"/>
      <c r="R175" s="63"/>
      <c r="S175" s="68"/>
      <c r="T175" s="64"/>
      <c r="U175" s="68"/>
      <c r="V175" s="64"/>
      <c r="W175" s="68">
        <f t="shared" ref="W175:W184" si="15">SUM(S175:V175)</f>
        <v>0</v>
      </c>
      <c r="X175" s="117"/>
      <c r="Y175" s="173"/>
      <c r="Z175" s="65"/>
    </row>
    <row r="176" ht="14.25" customHeight="1">
      <c r="B176" s="148"/>
      <c r="C176" s="70"/>
      <c r="D176" s="70" t="s">
        <v>994</v>
      </c>
      <c r="L176" s="61"/>
      <c r="M176" s="62"/>
      <c r="N176" s="63"/>
      <c r="O176" s="62"/>
      <c r="P176" s="63"/>
      <c r="Q176" s="62"/>
      <c r="R176" s="63"/>
      <c r="S176" s="68">
        <v>0.0</v>
      </c>
      <c r="T176" s="64">
        <v>0.0</v>
      </c>
      <c r="U176" s="68">
        <v>0.0</v>
      </c>
      <c r="V176" s="64">
        <v>0.0</v>
      </c>
      <c r="W176" s="68">
        <f t="shared" si="15"/>
        <v>0</v>
      </c>
      <c r="X176" s="117"/>
      <c r="Y176" s="173"/>
      <c r="Z176" s="65"/>
    </row>
    <row r="177" ht="14.25" customHeight="1">
      <c r="B177" s="148"/>
      <c r="C177" s="144"/>
      <c r="D177" s="77" t="s">
        <v>133</v>
      </c>
      <c r="E177" s="70"/>
      <c r="L177" s="61"/>
      <c r="M177" s="62"/>
      <c r="N177" s="63"/>
      <c r="O177" s="62"/>
      <c r="P177" s="63"/>
      <c r="Q177" s="62"/>
      <c r="R177" s="63"/>
      <c r="S177" s="68">
        <v>0.0</v>
      </c>
      <c r="T177" s="64">
        <v>0.0</v>
      </c>
      <c r="U177" s="68">
        <v>0.0</v>
      </c>
      <c r="V177" s="64">
        <v>0.0</v>
      </c>
      <c r="W177" s="68">
        <f t="shared" si="15"/>
        <v>0</v>
      </c>
      <c r="X177" s="117"/>
      <c r="Y177" s="173"/>
      <c r="Z177" s="65"/>
    </row>
    <row r="178" ht="14.25" customHeight="1">
      <c r="B178" s="148"/>
      <c r="C178" s="144"/>
      <c r="D178" s="70" t="s">
        <v>985</v>
      </c>
      <c r="E178" s="70"/>
      <c r="L178" s="61"/>
      <c r="M178" s="62"/>
      <c r="N178" s="63"/>
      <c r="O178" s="62"/>
      <c r="P178" s="63"/>
      <c r="Q178" s="62"/>
      <c r="R178" s="63"/>
      <c r="S178" s="68">
        <v>0.0</v>
      </c>
      <c r="T178" s="64">
        <v>0.0</v>
      </c>
      <c r="U178" s="68">
        <v>0.0</v>
      </c>
      <c r="V178" s="64">
        <v>0.0</v>
      </c>
      <c r="W178" s="68">
        <f t="shared" si="15"/>
        <v>0</v>
      </c>
      <c r="X178" s="117"/>
      <c r="Y178" s="173"/>
      <c r="Z178" s="65"/>
    </row>
    <row r="179" ht="14.25" customHeight="1">
      <c r="B179" s="148"/>
      <c r="C179" s="144"/>
      <c r="D179" s="70" t="s">
        <v>986</v>
      </c>
      <c r="E179" s="70"/>
      <c r="L179" s="61"/>
      <c r="M179" s="62"/>
      <c r="N179" s="63"/>
      <c r="O179" s="62"/>
      <c r="P179" s="63"/>
      <c r="Q179" s="62"/>
      <c r="R179" s="63"/>
      <c r="S179" s="68">
        <v>0.0</v>
      </c>
      <c r="T179" s="64">
        <v>0.0</v>
      </c>
      <c r="U179" s="68">
        <v>0.0</v>
      </c>
      <c r="V179" s="64">
        <v>0.0</v>
      </c>
      <c r="W179" s="68">
        <f t="shared" si="15"/>
        <v>0</v>
      </c>
      <c r="X179" s="117"/>
      <c r="Y179" s="173"/>
      <c r="Z179" s="65"/>
    </row>
    <row r="180" ht="14.25" customHeight="1">
      <c r="B180" s="148"/>
      <c r="C180" s="144"/>
      <c r="D180" s="70" t="s">
        <v>995</v>
      </c>
      <c r="E180" s="70"/>
      <c r="L180" s="61"/>
      <c r="M180" s="62"/>
      <c r="N180" s="63"/>
      <c r="O180" s="62"/>
      <c r="P180" s="63"/>
      <c r="Q180" s="62"/>
      <c r="R180" s="63"/>
      <c r="S180" s="68">
        <v>0.0</v>
      </c>
      <c r="T180" s="64">
        <v>0.0</v>
      </c>
      <c r="U180" s="68">
        <v>0.0</v>
      </c>
      <c r="V180" s="64">
        <v>0.0</v>
      </c>
      <c r="W180" s="68">
        <f t="shared" si="15"/>
        <v>0</v>
      </c>
      <c r="X180" s="117"/>
      <c r="Y180" s="173"/>
      <c r="Z180" s="65"/>
    </row>
    <row r="181" ht="14.25" customHeight="1">
      <c r="B181" s="148"/>
      <c r="C181" s="144"/>
      <c r="D181" s="70" t="s">
        <v>996</v>
      </c>
      <c r="E181" s="70"/>
      <c r="L181" s="61"/>
      <c r="M181" s="62"/>
      <c r="N181" s="63"/>
      <c r="O181" s="62"/>
      <c r="P181" s="63"/>
      <c r="Q181" s="62"/>
      <c r="R181" s="63"/>
      <c r="S181" s="68">
        <v>0.0</v>
      </c>
      <c r="T181" s="64">
        <v>0.0</v>
      </c>
      <c r="U181" s="68">
        <v>0.0</v>
      </c>
      <c r="V181" s="64">
        <v>0.0</v>
      </c>
      <c r="W181" s="68">
        <f t="shared" si="15"/>
        <v>0</v>
      </c>
      <c r="X181" s="117"/>
      <c r="Y181" s="173"/>
      <c r="Z181" s="65"/>
    </row>
    <row r="182" ht="14.25" customHeight="1">
      <c r="B182" s="148"/>
      <c r="C182" s="144"/>
      <c r="D182" s="70" t="s">
        <v>997</v>
      </c>
      <c r="E182" s="70"/>
      <c r="L182" s="61"/>
      <c r="M182" s="62"/>
      <c r="N182" s="63"/>
      <c r="O182" s="62"/>
      <c r="P182" s="63"/>
      <c r="Q182" s="62"/>
      <c r="R182" s="63"/>
      <c r="S182" s="68">
        <v>0.0</v>
      </c>
      <c r="T182" s="64">
        <v>0.0</v>
      </c>
      <c r="U182" s="68">
        <v>0.0</v>
      </c>
      <c r="V182" s="64">
        <v>0.0</v>
      </c>
      <c r="W182" s="68">
        <f t="shared" si="15"/>
        <v>0</v>
      </c>
      <c r="X182" s="117"/>
      <c r="Y182" s="173"/>
      <c r="Z182" s="65"/>
    </row>
    <row r="183" ht="14.25" customHeight="1">
      <c r="B183" s="148"/>
      <c r="C183" s="144"/>
      <c r="D183" s="70" t="s">
        <v>998</v>
      </c>
      <c r="E183" s="70"/>
      <c r="L183" s="61"/>
      <c r="M183" s="62"/>
      <c r="N183" s="63"/>
      <c r="O183" s="62"/>
      <c r="P183" s="63"/>
      <c r="Q183" s="62"/>
      <c r="R183" s="63"/>
      <c r="S183" s="68">
        <v>0.0</v>
      </c>
      <c r="T183" s="64">
        <v>0.0</v>
      </c>
      <c r="U183" s="68">
        <v>0.0</v>
      </c>
      <c r="V183" s="64">
        <v>0.0</v>
      </c>
      <c r="W183" s="68">
        <f t="shared" si="15"/>
        <v>0</v>
      </c>
      <c r="X183" s="117"/>
      <c r="Y183" s="173"/>
      <c r="Z183" s="65"/>
    </row>
    <row r="184" ht="14.25" customHeight="1">
      <c r="B184" s="148"/>
      <c r="C184" s="144"/>
      <c r="D184" s="70" t="s">
        <v>999</v>
      </c>
      <c r="E184" s="70"/>
      <c r="L184" s="61"/>
      <c r="M184" s="62"/>
      <c r="N184" s="63"/>
      <c r="O184" s="62"/>
      <c r="P184" s="63"/>
      <c r="Q184" s="62"/>
      <c r="R184" s="63"/>
      <c r="S184" s="68">
        <v>0.0</v>
      </c>
      <c r="T184" s="64">
        <v>0.0</v>
      </c>
      <c r="U184" s="68">
        <v>0.0</v>
      </c>
      <c r="V184" s="64">
        <v>0.0</v>
      </c>
      <c r="W184" s="68">
        <f t="shared" si="15"/>
        <v>0</v>
      </c>
      <c r="X184" s="117"/>
      <c r="Y184" s="173"/>
      <c r="Z184" s="65"/>
    </row>
    <row r="185" ht="14.25" customHeight="1">
      <c r="B185" s="148"/>
      <c r="C185" s="144"/>
      <c r="D185" s="70"/>
      <c r="E185" s="70"/>
      <c r="L185" s="61"/>
      <c r="M185" s="62"/>
      <c r="N185" s="63"/>
      <c r="O185" s="62"/>
      <c r="P185" s="63"/>
      <c r="Q185" s="62"/>
      <c r="R185" s="63"/>
      <c r="S185" s="68"/>
      <c r="T185" s="64"/>
      <c r="U185" s="68"/>
      <c r="V185" s="64"/>
      <c r="W185" s="68"/>
      <c r="X185" s="117"/>
      <c r="Y185" s="173"/>
      <c r="Z185" s="65"/>
    </row>
    <row r="186" ht="14.25" customHeight="1">
      <c r="B186" s="69"/>
      <c r="C186" s="144"/>
      <c r="D186" s="144" t="s">
        <v>1000</v>
      </c>
      <c r="E186" s="144"/>
      <c r="L186" s="61"/>
      <c r="M186" s="62"/>
      <c r="N186" s="63"/>
      <c r="O186" s="62"/>
      <c r="P186" s="63"/>
      <c r="Q186" s="62"/>
      <c r="R186" s="63"/>
      <c r="S186" s="68"/>
      <c r="T186" s="64"/>
      <c r="U186" s="68"/>
      <c r="V186" s="64"/>
      <c r="W186" s="68">
        <f t="shared" ref="W186:W195" si="16">SUM(S186:V186)</f>
        <v>0</v>
      </c>
      <c r="X186" s="117"/>
      <c r="Y186" s="173"/>
      <c r="Z186" s="65"/>
    </row>
    <row r="187" ht="14.25" customHeight="1">
      <c r="B187" s="148"/>
      <c r="C187" s="70"/>
      <c r="D187" s="70" t="s">
        <v>1001</v>
      </c>
      <c r="L187" s="61"/>
      <c r="M187" s="62"/>
      <c r="N187" s="63"/>
      <c r="O187" s="62"/>
      <c r="P187" s="63"/>
      <c r="Q187" s="62"/>
      <c r="R187" s="63"/>
      <c r="S187" s="68">
        <v>0.0</v>
      </c>
      <c r="T187" s="64">
        <v>8.0</v>
      </c>
      <c r="U187" s="68">
        <v>0.0</v>
      </c>
      <c r="V187" s="64">
        <v>0.0</v>
      </c>
      <c r="W187" s="68">
        <f t="shared" si="16"/>
        <v>8</v>
      </c>
      <c r="X187" s="117"/>
      <c r="Y187" s="173"/>
      <c r="Z187" s="65"/>
    </row>
    <row r="188" ht="14.25" customHeight="1">
      <c r="B188" s="148"/>
      <c r="C188" s="144"/>
      <c r="D188" s="70" t="s">
        <v>1002</v>
      </c>
      <c r="E188" s="70"/>
      <c r="L188" s="61"/>
      <c r="M188" s="62"/>
      <c r="N188" s="63"/>
      <c r="O188" s="62"/>
      <c r="P188" s="63"/>
      <c r="Q188" s="62"/>
      <c r="R188" s="63"/>
      <c r="S188" s="68">
        <v>0.0</v>
      </c>
      <c r="T188" s="64">
        <v>0.0</v>
      </c>
      <c r="U188" s="68">
        <v>0.0</v>
      </c>
      <c r="V188" s="64">
        <v>0.0</v>
      </c>
      <c r="W188" s="68">
        <f t="shared" si="16"/>
        <v>0</v>
      </c>
      <c r="X188" s="117"/>
      <c r="Y188" s="173"/>
      <c r="Z188" s="65"/>
    </row>
    <row r="189" ht="14.25" customHeight="1">
      <c r="B189" s="148"/>
      <c r="C189" s="144"/>
      <c r="D189" s="70" t="s">
        <v>985</v>
      </c>
      <c r="E189" s="70"/>
      <c r="L189" s="61"/>
      <c r="M189" s="62"/>
      <c r="N189" s="63"/>
      <c r="O189" s="62"/>
      <c r="P189" s="63"/>
      <c r="Q189" s="62"/>
      <c r="R189" s="63"/>
      <c r="S189" s="68">
        <v>0.0</v>
      </c>
      <c r="T189" s="64">
        <v>0.0</v>
      </c>
      <c r="U189" s="68">
        <v>0.0</v>
      </c>
      <c r="V189" s="64">
        <v>0.0</v>
      </c>
      <c r="W189" s="68">
        <f t="shared" si="16"/>
        <v>0</v>
      </c>
      <c r="X189" s="117"/>
      <c r="Y189" s="173"/>
      <c r="Z189" s="65"/>
    </row>
    <row r="190" ht="14.25" customHeight="1">
      <c r="B190" s="148"/>
      <c r="C190" s="144"/>
      <c r="D190" s="70" t="s">
        <v>986</v>
      </c>
      <c r="E190" s="70"/>
      <c r="L190" s="61"/>
      <c r="M190" s="62"/>
      <c r="N190" s="63"/>
      <c r="O190" s="62"/>
      <c r="P190" s="63"/>
      <c r="Q190" s="62"/>
      <c r="R190" s="63"/>
      <c r="S190" s="68">
        <v>0.0</v>
      </c>
      <c r="T190" s="64">
        <v>0.0</v>
      </c>
      <c r="U190" s="68">
        <v>0.0</v>
      </c>
      <c r="V190" s="64">
        <v>0.0</v>
      </c>
      <c r="W190" s="68">
        <f t="shared" si="16"/>
        <v>0</v>
      </c>
      <c r="X190" s="117"/>
      <c r="Y190" s="173"/>
      <c r="Z190" s="65"/>
    </row>
    <row r="191" ht="14.25" customHeight="1">
      <c r="B191" s="148"/>
      <c r="C191" s="144"/>
      <c r="D191" s="70" t="s">
        <v>995</v>
      </c>
      <c r="E191" s="70"/>
      <c r="L191" s="61"/>
      <c r="M191" s="62"/>
      <c r="N191" s="63"/>
      <c r="O191" s="62"/>
      <c r="P191" s="63"/>
      <c r="Q191" s="62"/>
      <c r="R191" s="63"/>
      <c r="S191" s="68">
        <v>0.0</v>
      </c>
      <c r="T191" s="64">
        <v>0.0</v>
      </c>
      <c r="U191" s="68">
        <v>0.0</v>
      </c>
      <c r="V191" s="64">
        <v>0.0</v>
      </c>
      <c r="W191" s="68">
        <f t="shared" si="16"/>
        <v>0</v>
      </c>
      <c r="X191" s="117"/>
      <c r="Y191" s="173"/>
      <c r="Z191" s="65"/>
    </row>
    <row r="192" ht="14.25" customHeight="1">
      <c r="B192" s="148"/>
      <c r="C192" s="144"/>
      <c r="D192" s="70" t="s">
        <v>1003</v>
      </c>
      <c r="E192" s="70"/>
      <c r="L192" s="61"/>
      <c r="M192" s="62"/>
      <c r="N192" s="63"/>
      <c r="O192" s="62"/>
      <c r="P192" s="63"/>
      <c r="Q192" s="62"/>
      <c r="R192" s="63"/>
      <c r="S192" s="68">
        <v>0.0</v>
      </c>
      <c r="T192" s="64">
        <v>4.0</v>
      </c>
      <c r="U192" s="68">
        <v>0.0</v>
      </c>
      <c r="V192" s="64">
        <v>0.0</v>
      </c>
      <c r="W192" s="68">
        <f t="shared" si="16"/>
        <v>4</v>
      </c>
      <c r="X192" s="117"/>
      <c r="Y192" s="173"/>
      <c r="Z192" s="65"/>
    </row>
    <row r="193" ht="14.25" customHeight="1">
      <c r="B193" s="148"/>
      <c r="C193" s="144"/>
      <c r="D193" s="70" t="s">
        <v>1004</v>
      </c>
      <c r="E193" s="70"/>
      <c r="L193" s="61"/>
      <c r="M193" s="62"/>
      <c r="N193" s="63"/>
      <c r="O193" s="62"/>
      <c r="P193" s="63"/>
      <c r="Q193" s="62"/>
      <c r="R193" s="63"/>
      <c r="S193" s="68">
        <v>0.0</v>
      </c>
      <c r="T193" s="64">
        <v>4.0</v>
      </c>
      <c r="U193" s="68">
        <v>0.0</v>
      </c>
      <c r="V193" s="64">
        <v>0.0</v>
      </c>
      <c r="W193" s="68">
        <f t="shared" si="16"/>
        <v>4</v>
      </c>
      <c r="X193" s="117"/>
      <c r="Y193" s="173"/>
      <c r="Z193" s="65"/>
    </row>
    <row r="194" ht="14.25" customHeight="1">
      <c r="B194" s="148"/>
      <c r="C194" s="144"/>
      <c r="D194" s="70" t="s">
        <v>999</v>
      </c>
      <c r="E194" s="70"/>
      <c r="L194" s="61"/>
      <c r="M194" s="62"/>
      <c r="N194" s="63"/>
      <c r="O194" s="62"/>
      <c r="P194" s="63"/>
      <c r="Q194" s="62"/>
      <c r="R194" s="63"/>
      <c r="S194" s="68">
        <v>0.0</v>
      </c>
      <c r="T194" s="64">
        <v>0.0</v>
      </c>
      <c r="U194" s="68">
        <v>0.0</v>
      </c>
      <c r="V194" s="64">
        <v>0.0</v>
      </c>
      <c r="W194" s="68">
        <f t="shared" si="16"/>
        <v>0</v>
      </c>
      <c r="X194" s="117"/>
      <c r="Y194" s="173"/>
      <c r="Z194" s="65"/>
    </row>
    <row r="195" ht="14.25" customHeight="1">
      <c r="B195" s="148"/>
      <c r="C195" s="144"/>
      <c r="D195" s="70" t="s">
        <v>1005</v>
      </c>
      <c r="E195" s="70"/>
      <c r="L195" s="61"/>
      <c r="M195" s="62"/>
      <c r="N195" s="63"/>
      <c r="O195" s="62"/>
      <c r="P195" s="63"/>
      <c r="Q195" s="62"/>
      <c r="R195" s="63"/>
      <c r="S195" s="68">
        <v>0.0</v>
      </c>
      <c r="T195" s="64">
        <v>0.0</v>
      </c>
      <c r="U195" s="68">
        <v>0.0</v>
      </c>
      <c r="V195" s="64">
        <v>0.0</v>
      </c>
      <c r="W195" s="68">
        <f t="shared" si="16"/>
        <v>0</v>
      </c>
      <c r="X195" s="117"/>
      <c r="Y195" s="173"/>
      <c r="Z195" s="65"/>
    </row>
    <row r="196" ht="14.25" customHeight="1">
      <c r="B196" s="148"/>
      <c r="C196" s="144"/>
      <c r="D196" s="70"/>
      <c r="E196" s="70"/>
      <c r="L196" s="61"/>
      <c r="M196" s="62"/>
      <c r="N196" s="63"/>
      <c r="O196" s="62"/>
      <c r="P196" s="63"/>
      <c r="Q196" s="62"/>
      <c r="R196" s="63"/>
      <c r="S196" s="68"/>
      <c r="T196" s="64"/>
      <c r="U196" s="68"/>
      <c r="V196" s="64"/>
      <c r="W196" s="68"/>
      <c r="X196" s="117"/>
      <c r="Y196" s="173"/>
      <c r="Z196" s="65"/>
    </row>
    <row r="197" ht="14.25" customHeight="1">
      <c r="B197" s="69"/>
      <c r="C197" s="144"/>
      <c r="D197" s="144" t="s">
        <v>1006</v>
      </c>
      <c r="E197" s="144"/>
      <c r="L197" s="61"/>
      <c r="M197" s="62"/>
      <c r="N197" s="63"/>
      <c r="O197" s="62"/>
      <c r="P197" s="63"/>
      <c r="Q197" s="62"/>
      <c r="R197" s="63"/>
      <c r="S197" s="68"/>
      <c r="T197" s="64"/>
      <c r="U197" s="68"/>
      <c r="V197" s="64"/>
      <c r="W197" s="68"/>
      <c r="X197" s="117"/>
      <c r="Y197" s="173"/>
      <c r="Z197" s="65"/>
    </row>
    <row r="198" ht="14.25" customHeight="1">
      <c r="B198" s="148"/>
      <c r="C198" s="70"/>
      <c r="D198" s="70" t="s">
        <v>1007</v>
      </c>
      <c r="L198" s="61"/>
      <c r="M198" s="62"/>
      <c r="N198" s="63"/>
      <c r="O198" s="62"/>
      <c r="P198" s="63"/>
      <c r="Q198" s="62"/>
      <c r="R198" s="63"/>
      <c r="S198" s="68"/>
      <c r="T198" s="64"/>
      <c r="U198" s="68"/>
      <c r="V198" s="64"/>
      <c r="W198" s="68"/>
      <c r="X198" s="117"/>
      <c r="Y198" s="173"/>
      <c r="Z198" s="65"/>
    </row>
    <row r="199" ht="14.25" customHeight="1">
      <c r="B199" s="148"/>
      <c r="C199" s="144"/>
      <c r="D199" s="70" t="s">
        <v>1002</v>
      </c>
      <c r="E199" s="70"/>
      <c r="L199" s="61"/>
      <c r="M199" s="62"/>
      <c r="N199" s="63"/>
      <c r="O199" s="62"/>
      <c r="P199" s="63"/>
      <c r="Q199" s="62"/>
      <c r="R199" s="63"/>
      <c r="S199" s="68">
        <v>0.0</v>
      </c>
      <c r="T199" s="64">
        <v>117.0</v>
      </c>
      <c r="U199" s="68">
        <v>0.0</v>
      </c>
      <c r="V199" s="64">
        <v>0.0</v>
      </c>
      <c r="W199" s="68">
        <f t="shared" ref="W199:W207" si="17">SUM(S199:V199)</f>
        <v>117</v>
      </c>
      <c r="X199" s="117"/>
      <c r="Y199" s="173"/>
      <c r="Z199" s="65"/>
    </row>
    <row r="200" ht="14.25" customHeight="1">
      <c r="B200" s="148"/>
      <c r="C200" s="144"/>
      <c r="D200" s="70" t="s">
        <v>985</v>
      </c>
      <c r="E200" s="70"/>
      <c r="L200" s="61"/>
      <c r="M200" s="62"/>
      <c r="N200" s="63"/>
      <c r="O200" s="62"/>
      <c r="P200" s="63"/>
      <c r="Q200" s="62"/>
      <c r="R200" s="63"/>
      <c r="S200" s="68">
        <v>0.0</v>
      </c>
      <c r="T200" s="64">
        <v>0.0</v>
      </c>
      <c r="U200" s="68">
        <v>0.0</v>
      </c>
      <c r="V200" s="64">
        <v>0.0</v>
      </c>
      <c r="W200" s="68">
        <f t="shared" si="17"/>
        <v>0</v>
      </c>
      <c r="X200" s="117"/>
      <c r="Y200" s="173"/>
      <c r="Z200" s="65"/>
    </row>
    <row r="201" ht="14.25" customHeight="1">
      <c r="B201" s="148"/>
      <c r="C201" s="144"/>
      <c r="D201" s="70" t="s">
        <v>986</v>
      </c>
      <c r="E201" s="70"/>
      <c r="L201" s="61"/>
      <c r="M201" s="62"/>
      <c r="N201" s="63"/>
      <c r="O201" s="62"/>
      <c r="P201" s="63"/>
      <c r="Q201" s="62"/>
      <c r="R201" s="63"/>
      <c r="S201" s="68">
        <v>0.0</v>
      </c>
      <c r="T201" s="64">
        <v>0.0</v>
      </c>
      <c r="U201" s="68">
        <v>0.0</v>
      </c>
      <c r="V201" s="64">
        <v>0.0</v>
      </c>
      <c r="W201" s="68">
        <f t="shared" si="17"/>
        <v>0</v>
      </c>
      <c r="X201" s="117"/>
      <c r="Y201" s="173"/>
      <c r="Z201" s="65"/>
    </row>
    <row r="202" ht="14.25" customHeight="1">
      <c r="B202" s="148"/>
      <c r="C202" s="144"/>
      <c r="D202" s="70" t="s">
        <v>995</v>
      </c>
      <c r="E202" s="70"/>
      <c r="L202" s="61"/>
      <c r="M202" s="62"/>
      <c r="N202" s="63"/>
      <c r="O202" s="62"/>
      <c r="P202" s="63"/>
      <c r="Q202" s="62"/>
      <c r="R202" s="63"/>
      <c r="S202" s="68">
        <v>0.0</v>
      </c>
      <c r="T202" s="64">
        <v>0.0</v>
      </c>
      <c r="U202" s="68">
        <v>0.0</v>
      </c>
      <c r="V202" s="64">
        <v>0.0</v>
      </c>
      <c r="W202" s="68">
        <f t="shared" si="17"/>
        <v>0</v>
      </c>
      <c r="X202" s="117"/>
      <c r="Y202" s="173"/>
      <c r="Z202" s="65"/>
    </row>
    <row r="203" ht="14.25" customHeight="1">
      <c r="B203" s="148"/>
      <c r="C203" s="144"/>
      <c r="D203" s="70" t="s">
        <v>996</v>
      </c>
      <c r="E203" s="70"/>
      <c r="L203" s="61"/>
      <c r="M203" s="62"/>
      <c r="N203" s="63"/>
      <c r="O203" s="62"/>
      <c r="P203" s="63"/>
      <c r="Q203" s="62"/>
      <c r="R203" s="63"/>
      <c r="S203" s="68">
        <v>4.0</v>
      </c>
      <c r="T203" s="64">
        <v>1.0</v>
      </c>
      <c r="U203" s="68">
        <v>0.0</v>
      </c>
      <c r="V203" s="64">
        <v>0.0</v>
      </c>
      <c r="W203" s="68">
        <f t="shared" si="17"/>
        <v>5</v>
      </c>
      <c r="X203" s="117"/>
      <c r="Y203" s="173"/>
      <c r="Z203" s="65"/>
    </row>
    <row r="204" ht="14.25" customHeight="1">
      <c r="B204" s="148"/>
      <c r="C204" s="144"/>
      <c r="D204" s="70" t="s">
        <v>1008</v>
      </c>
      <c r="E204" s="70"/>
      <c r="L204" s="61"/>
      <c r="M204" s="62"/>
      <c r="N204" s="63"/>
      <c r="O204" s="62"/>
      <c r="P204" s="63"/>
      <c r="Q204" s="62"/>
      <c r="R204" s="63"/>
      <c r="S204" s="68">
        <v>0.0</v>
      </c>
      <c r="T204" s="64">
        <v>8.0</v>
      </c>
      <c r="U204" s="68">
        <v>0.0</v>
      </c>
      <c r="V204" s="64">
        <v>0.0</v>
      </c>
      <c r="W204" s="68">
        <f t="shared" si="17"/>
        <v>8</v>
      </c>
      <c r="X204" s="117"/>
      <c r="Y204" s="173"/>
      <c r="Z204" s="65"/>
    </row>
    <row r="205" ht="14.25" customHeight="1">
      <c r="B205" s="148"/>
      <c r="C205" s="144"/>
      <c r="D205" s="70" t="s">
        <v>1009</v>
      </c>
      <c r="E205" s="70"/>
      <c r="L205" s="61"/>
      <c r="M205" s="62"/>
      <c r="N205" s="63"/>
      <c r="O205" s="62"/>
      <c r="P205" s="63"/>
      <c r="Q205" s="62"/>
      <c r="R205" s="63"/>
      <c r="S205" s="68">
        <v>2.0</v>
      </c>
      <c r="T205" s="64">
        <v>8.0</v>
      </c>
      <c r="U205" s="68">
        <v>0.0</v>
      </c>
      <c r="V205" s="64">
        <v>0.0</v>
      </c>
      <c r="W205" s="68">
        <f t="shared" si="17"/>
        <v>10</v>
      </c>
      <c r="X205" s="117"/>
      <c r="Y205" s="173"/>
      <c r="Z205" s="65"/>
    </row>
    <row r="206" ht="14.25" customHeight="1">
      <c r="B206" s="148"/>
      <c r="C206" s="144"/>
      <c r="D206" s="70" t="s">
        <v>1010</v>
      </c>
      <c r="E206" s="70"/>
      <c r="L206" s="61"/>
      <c r="M206" s="62"/>
      <c r="N206" s="63"/>
      <c r="O206" s="62"/>
      <c r="P206" s="63"/>
      <c r="Q206" s="62"/>
      <c r="R206" s="63"/>
      <c r="S206" s="68">
        <v>1.0</v>
      </c>
      <c r="T206" s="64">
        <v>0.0</v>
      </c>
      <c r="U206" s="68">
        <v>0.0</v>
      </c>
      <c r="V206" s="64">
        <v>0.0</v>
      </c>
      <c r="W206" s="68">
        <f t="shared" si="17"/>
        <v>1</v>
      </c>
      <c r="X206" s="117"/>
      <c r="Y206" s="173"/>
      <c r="Z206" s="65"/>
    </row>
    <row r="207" ht="14.25" customHeight="1">
      <c r="B207" s="148"/>
      <c r="C207" s="144"/>
      <c r="D207" s="70" t="s">
        <v>1011</v>
      </c>
      <c r="E207" s="70"/>
      <c r="L207" s="61"/>
      <c r="M207" s="62"/>
      <c r="N207" s="63"/>
      <c r="O207" s="62"/>
      <c r="P207" s="63"/>
      <c r="Q207" s="62"/>
      <c r="R207" s="63"/>
      <c r="S207" s="68">
        <v>0.0</v>
      </c>
      <c r="T207" s="64">
        <v>100.0</v>
      </c>
      <c r="U207" s="68">
        <v>0.0</v>
      </c>
      <c r="V207" s="64">
        <v>0.0</v>
      </c>
      <c r="W207" s="68">
        <f t="shared" si="17"/>
        <v>100</v>
      </c>
      <c r="X207" s="117"/>
      <c r="Y207" s="89"/>
      <c r="Z207" s="65"/>
    </row>
    <row r="208" ht="14.25" customHeight="1">
      <c r="B208" s="148"/>
      <c r="C208" s="144"/>
      <c r="D208" s="70"/>
      <c r="E208" s="70"/>
      <c r="L208" s="61"/>
      <c r="M208" s="62"/>
      <c r="N208" s="63"/>
      <c r="O208" s="62"/>
      <c r="P208" s="63"/>
      <c r="Q208" s="62"/>
      <c r="R208" s="63"/>
      <c r="S208" s="68"/>
      <c r="T208" s="64"/>
      <c r="U208" s="68"/>
      <c r="V208" s="64"/>
      <c r="W208" s="68"/>
      <c r="X208" s="117"/>
      <c r="Y208" s="173"/>
      <c r="Z208" s="65"/>
    </row>
    <row r="209" ht="14.25" customHeight="1">
      <c r="B209" s="69"/>
      <c r="C209" s="144"/>
      <c r="D209" s="144" t="s">
        <v>1012</v>
      </c>
      <c r="E209" s="144"/>
      <c r="L209" s="61"/>
      <c r="M209" s="62"/>
      <c r="N209" s="63"/>
      <c r="O209" s="62"/>
      <c r="P209" s="63"/>
      <c r="Q209" s="62"/>
      <c r="R209" s="63"/>
      <c r="S209" s="68"/>
      <c r="T209" s="64"/>
      <c r="U209" s="68"/>
      <c r="V209" s="64"/>
      <c r="W209" s="68"/>
      <c r="X209" s="117"/>
      <c r="Y209" s="173"/>
      <c r="Z209" s="65"/>
    </row>
    <row r="210" ht="14.25" customHeight="1">
      <c r="B210" s="148"/>
      <c r="C210" s="70"/>
      <c r="D210" s="70" t="s">
        <v>1013</v>
      </c>
      <c r="L210" s="61"/>
      <c r="M210" s="62"/>
      <c r="N210" s="63"/>
      <c r="O210" s="62"/>
      <c r="P210" s="63"/>
      <c r="Q210" s="62"/>
      <c r="R210" s="63"/>
      <c r="S210" s="68">
        <v>0.0</v>
      </c>
      <c r="T210" s="64">
        <v>0.0</v>
      </c>
      <c r="U210" s="68">
        <v>0.0</v>
      </c>
      <c r="V210" s="64">
        <v>0.0</v>
      </c>
      <c r="W210" s="68">
        <f t="shared" ref="W210:W218" si="18">SUM(S210:V210)</f>
        <v>0</v>
      </c>
      <c r="X210" s="117"/>
      <c r="Y210" s="173"/>
      <c r="Z210" s="65"/>
    </row>
    <row r="211" ht="14.25" customHeight="1">
      <c r="B211" s="148"/>
      <c r="C211" s="144"/>
      <c r="D211" s="70" t="s">
        <v>1002</v>
      </c>
      <c r="E211" s="70"/>
      <c r="L211" s="61"/>
      <c r="M211" s="62"/>
      <c r="N211" s="63"/>
      <c r="O211" s="62"/>
      <c r="P211" s="63"/>
      <c r="Q211" s="62"/>
      <c r="R211" s="63"/>
      <c r="S211" s="68">
        <v>0.0</v>
      </c>
      <c r="T211" s="64">
        <v>0.0</v>
      </c>
      <c r="U211" s="68">
        <v>0.0</v>
      </c>
      <c r="V211" s="64">
        <v>0.0</v>
      </c>
      <c r="W211" s="68">
        <f t="shared" si="18"/>
        <v>0</v>
      </c>
      <c r="X211" s="117"/>
      <c r="Y211" s="173"/>
      <c r="Z211" s="65"/>
    </row>
    <row r="212" ht="14.25" customHeight="1">
      <c r="B212" s="148"/>
      <c r="C212" s="144"/>
      <c r="D212" s="70" t="s">
        <v>985</v>
      </c>
      <c r="E212" s="70"/>
      <c r="L212" s="61"/>
      <c r="M212" s="62"/>
      <c r="N212" s="63"/>
      <c r="O212" s="62"/>
      <c r="P212" s="63"/>
      <c r="Q212" s="62"/>
      <c r="R212" s="63"/>
      <c r="S212" s="68">
        <v>0.0</v>
      </c>
      <c r="T212" s="64">
        <v>0.0</v>
      </c>
      <c r="U212" s="68">
        <v>0.0</v>
      </c>
      <c r="V212" s="64">
        <v>0.0</v>
      </c>
      <c r="W212" s="68">
        <f t="shared" si="18"/>
        <v>0</v>
      </c>
      <c r="X212" s="117"/>
      <c r="Y212" s="173"/>
      <c r="Z212" s="65"/>
    </row>
    <row r="213" ht="14.25" customHeight="1">
      <c r="B213" s="148"/>
      <c r="C213" s="144"/>
      <c r="D213" s="70" t="s">
        <v>986</v>
      </c>
      <c r="E213" s="70"/>
      <c r="L213" s="61"/>
      <c r="M213" s="62"/>
      <c r="N213" s="63"/>
      <c r="O213" s="62"/>
      <c r="P213" s="63"/>
      <c r="Q213" s="62"/>
      <c r="R213" s="63"/>
      <c r="S213" s="68">
        <v>0.0</v>
      </c>
      <c r="T213" s="64">
        <v>0.0</v>
      </c>
      <c r="U213" s="68">
        <v>0.0</v>
      </c>
      <c r="V213" s="64">
        <v>0.0</v>
      </c>
      <c r="W213" s="68">
        <f t="shared" si="18"/>
        <v>0</v>
      </c>
      <c r="X213" s="117"/>
      <c r="Y213" s="173"/>
      <c r="Z213" s="65"/>
    </row>
    <row r="214" ht="14.25" customHeight="1">
      <c r="B214" s="148"/>
      <c r="C214" s="144"/>
      <c r="D214" s="70" t="s">
        <v>995</v>
      </c>
      <c r="E214" s="70"/>
      <c r="L214" s="61"/>
      <c r="M214" s="62"/>
      <c r="N214" s="63"/>
      <c r="O214" s="62"/>
      <c r="P214" s="63"/>
      <c r="Q214" s="62"/>
      <c r="R214" s="63"/>
      <c r="S214" s="68">
        <v>0.0</v>
      </c>
      <c r="T214" s="64">
        <v>0.0</v>
      </c>
      <c r="U214" s="68">
        <v>0.0</v>
      </c>
      <c r="V214" s="64">
        <v>0.0</v>
      </c>
      <c r="W214" s="68">
        <f t="shared" si="18"/>
        <v>0</v>
      </c>
      <c r="X214" s="117"/>
      <c r="Y214" s="173"/>
      <c r="Z214" s="65"/>
    </row>
    <row r="215" ht="14.25" customHeight="1">
      <c r="B215" s="148"/>
      <c r="C215" s="144"/>
      <c r="D215" s="70" t="s">
        <v>996</v>
      </c>
      <c r="E215" s="70"/>
      <c r="L215" s="61"/>
      <c r="M215" s="62"/>
      <c r="N215" s="63"/>
      <c r="O215" s="62"/>
      <c r="P215" s="63"/>
      <c r="Q215" s="62"/>
      <c r="R215" s="63"/>
      <c r="S215" s="68">
        <v>0.0</v>
      </c>
      <c r="T215" s="64">
        <v>0.0</v>
      </c>
      <c r="U215" s="68">
        <v>0.0</v>
      </c>
      <c r="V215" s="64">
        <v>0.0</v>
      </c>
      <c r="W215" s="68">
        <f t="shared" si="18"/>
        <v>0</v>
      </c>
      <c r="X215" s="117"/>
      <c r="Y215" s="173"/>
      <c r="Z215" s="65"/>
    </row>
    <row r="216" ht="14.25" customHeight="1">
      <c r="B216" s="148"/>
      <c r="C216" s="144"/>
      <c r="D216" s="70" t="s">
        <v>1014</v>
      </c>
      <c r="E216" s="70"/>
      <c r="L216" s="61"/>
      <c r="M216" s="62"/>
      <c r="N216" s="63"/>
      <c r="O216" s="62"/>
      <c r="P216" s="63"/>
      <c r="Q216" s="62"/>
      <c r="R216" s="63"/>
      <c r="S216" s="68">
        <v>0.0</v>
      </c>
      <c r="T216" s="64">
        <v>0.0</v>
      </c>
      <c r="U216" s="68">
        <v>0.0</v>
      </c>
      <c r="V216" s="64">
        <v>0.0</v>
      </c>
      <c r="W216" s="68">
        <f t="shared" si="18"/>
        <v>0</v>
      </c>
      <c r="X216" s="117"/>
      <c r="Y216" s="173"/>
      <c r="Z216" s="65"/>
    </row>
    <row r="217" ht="14.25" customHeight="1">
      <c r="B217" s="148"/>
      <c r="C217" s="144"/>
      <c r="D217" s="70" t="s">
        <v>998</v>
      </c>
      <c r="E217" s="70"/>
      <c r="L217" s="61"/>
      <c r="M217" s="62"/>
      <c r="N217" s="63"/>
      <c r="O217" s="62"/>
      <c r="P217" s="63"/>
      <c r="Q217" s="62"/>
      <c r="R217" s="63"/>
      <c r="S217" s="68">
        <v>0.0</v>
      </c>
      <c r="T217" s="64">
        <v>0.0</v>
      </c>
      <c r="U217" s="68">
        <v>0.0</v>
      </c>
      <c r="V217" s="64">
        <v>0.0</v>
      </c>
      <c r="W217" s="68">
        <f t="shared" si="18"/>
        <v>0</v>
      </c>
      <c r="X217" s="117"/>
      <c r="Y217" s="173"/>
      <c r="Z217" s="65"/>
    </row>
    <row r="218" ht="14.25" customHeight="1">
      <c r="B218" s="148"/>
      <c r="C218" s="144"/>
      <c r="D218" s="70" t="s">
        <v>999</v>
      </c>
      <c r="E218" s="70"/>
      <c r="L218" s="61"/>
      <c r="M218" s="62"/>
      <c r="N218" s="63"/>
      <c r="O218" s="62"/>
      <c r="P218" s="63"/>
      <c r="Q218" s="62"/>
      <c r="R218" s="63"/>
      <c r="S218" s="68">
        <v>0.0</v>
      </c>
      <c r="T218" s="64">
        <v>0.0</v>
      </c>
      <c r="U218" s="68">
        <v>0.0</v>
      </c>
      <c r="V218" s="64">
        <v>0.0</v>
      </c>
      <c r="W218" s="68">
        <f t="shared" si="18"/>
        <v>0</v>
      </c>
      <c r="X218" s="117"/>
      <c r="Y218" s="173"/>
      <c r="Z218" s="65"/>
    </row>
    <row r="219" ht="14.25" customHeight="1">
      <c r="B219" s="148"/>
      <c r="C219" s="144"/>
      <c r="D219" s="70"/>
      <c r="E219" s="70"/>
      <c r="L219" s="61"/>
      <c r="M219" s="62"/>
      <c r="N219" s="63"/>
      <c r="O219" s="62"/>
      <c r="P219" s="63"/>
      <c r="Q219" s="62"/>
      <c r="R219" s="63"/>
      <c r="S219" s="68"/>
      <c r="T219" s="64"/>
      <c r="U219" s="68"/>
      <c r="V219" s="64"/>
      <c r="W219" s="68"/>
      <c r="X219" s="117"/>
      <c r="Y219" s="173"/>
      <c r="Z219" s="65"/>
    </row>
    <row r="220" ht="14.25" customHeight="1">
      <c r="B220" s="69"/>
      <c r="C220" s="144"/>
      <c r="D220" s="144" t="s">
        <v>1015</v>
      </c>
      <c r="E220" s="144"/>
      <c r="L220" s="61"/>
      <c r="M220" s="62"/>
      <c r="N220" s="63"/>
      <c r="O220" s="62"/>
      <c r="P220" s="63"/>
      <c r="Q220" s="62"/>
      <c r="R220" s="63"/>
      <c r="S220" s="68"/>
      <c r="T220" s="64"/>
      <c r="U220" s="68"/>
      <c r="V220" s="64"/>
      <c r="W220" s="68"/>
      <c r="X220" s="117"/>
      <c r="Y220" s="173"/>
      <c r="Z220" s="65"/>
    </row>
    <row r="221" ht="14.25" customHeight="1">
      <c r="B221" s="148"/>
      <c r="C221" s="70"/>
      <c r="D221" s="70" t="s">
        <v>1016</v>
      </c>
      <c r="L221" s="61"/>
      <c r="M221" s="62"/>
      <c r="N221" s="63"/>
      <c r="O221" s="62"/>
      <c r="P221" s="63"/>
      <c r="Q221" s="62"/>
      <c r="R221" s="63"/>
      <c r="S221" s="68"/>
      <c r="T221" s="64"/>
      <c r="U221" s="68"/>
      <c r="V221" s="64"/>
      <c r="W221" s="68">
        <f t="shared" ref="W221:W229" si="19">SUM(S221:V221)</f>
        <v>0</v>
      </c>
      <c r="X221" s="117"/>
      <c r="Y221" s="173"/>
      <c r="Z221" s="65"/>
    </row>
    <row r="222" ht="14.25" customHeight="1">
      <c r="B222" s="148"/>
      <c r="C222" s="144"/>
      <c r="D222" s="70" t="s">
        <v>1002</v>
      </c>
      <c r="E222" s="70"/>
      <c r="L222" s="61"/>
      <c r="M222" s="62"/>
      <c r="N222" s="63"/>
      <c r="O222" s="62"/>
      <c r="P222" s="63"/>
      <c r="Q222" s="62"/>
      <c r="R222" s="63"/>
      <c r="S222" s="68">
        <v>0.0</v>
      </c>
      <c r="T222" s="64">
        <v>0.0</v>
      </c>
      <c r="U222" s="68">
        <v>0.0</v>
      </c>
      <c r="V222" s="64">
        <v>0.0</v>
      </c>
      <c r="W222" s="68">
        <f t="shared" si="19"/>
        <v>0</v>
      </c>
      <c r="X222" s="117"/>
      <c r="Y222" s="173"/>
      <c r="Z222" s="65"/>
    </row>
    <row r="223" ht="14.25" customHeight="1">
      <c r="B223" s="148"/>
      <c r="C223" s="144"/>
      <c r="D223" s="70" t="s">
        <v>985</v>
      </c>
      <c r="E223" s="70"/>
      <c r="L223" s="61"/>
      <c r="M223" s="62"/>
      <c r="N223" s="63"/>
      <c r="O223" s="62"/>
      <c r="P223" s="63"/>
      <c r="Q223" s="62"/>
      <c r="R223" s="63"/>
      <c r="S223" s="68">
        <v>0.0</v>
      </c>
      <c r="T223" s="64">
        <v>0.0</v>
      </c>
      <c r="U223" s="68">
        <v>0.0</v>
      </c>
      <c r="V223" s="64">
        <v>0.0</v>
      </c>
      <c r="W223" s="68">
        <f t="shared" si="19"/>
        <v>0</v>
      </c>
      <c r="X223" s="117"/>
      <c r="Y223" s="173"/>
      <c r="Z223" s="65"/>
    </row>
    <row r="224" ht="14.25" customHeight="1">
      <c r="B224" s="148"/>
      <c r="C224" s="144"/>
      <c r="D224" s="70" t="s">
        <v>986</v>
      </c>
      <c r="E224" s="70"/>
      <c r="L224" s="61"/>
      <c r="M224" s="62"/>
      <c r="N224" s="63"/>
      <c r="O224" s="62"/>
      <c r="P224" s="63"/>
      <c r="Q224" s="62"/>
      <c r="R224" s="63"/>
      <c r="S224" s="68">
        <v>0.0</v>
      </c>
      <c r="T224" s="64">
        <v>0.0</v>
      </c>
      <c r="U224" s="68">
        <v>0.0</v>
      </c>
      <c r="V224" s="64">
        <v>0.0</v>
      </c>
      <c r="W224" s="68">
        <f t="shared" si="19"/>
        <v>0</v>
      </c>
      <c r="X224" s="117"/>
      <c r="Y224" s="173"/>
      <c r="Z224" s="65"/>
    </row>
    <row r="225" ht="14.25" customHeight="1">
      <c r="B225" s="148"/>
      <c r="C225" s="144"/>
      <c r="D225" s="70" t="s">
        <v>995</v>
      </c>
      <c r="E225" s="70"/>
      <c r="L225" s="61"/>
      <c r="M225" s="62"/>
      <c r="N225" s="63"/>
      <c r="O225" s="62"/>
      <c r="P225" s="63"/>
      <c r="Q225" s="62"/>
      <c r="R225" s="63"/>
      <c r="S225" s="68">
        <v>0.0</v>
      </c>
      <c r="T225" s="64">
        <v>0.0</v>
      </c>
      <c r="U225" s="68">
        <v>0.0</v>
      </c>
      <c r="V225" s="64">
        <v>0.0</v>
      </c>
      <c r="W225" s="68">
        <f t="shared" si="19"/>
        <v>0</v>
      </c>
      <c r="X225" s="117"/>
      <c r="Y225" s="173"/>
      <c r="Z225" s="65"/>
    </row>
    <row r="226" ht="14.25" customHeight="1">
      <c r="B226" s="148"/>
      <c r="C226" s="144"/>
      <c r="D226" s="70" t="s">
        <v>996</v>
      </c>
      <c r="E226" s="70"/>
      <c r="L226" s="61"/>
      <c r="M226" s="62"/>
      <c r="N226" s="63"/>
      <c r="O226" s="62"/>
      <c r="P226" s="63"/>
      <c r="Q226" s="62"/>
      <c r="R226" s="63"/>
      <c r="S226" s="68">
        <v>0.0</v>
      </c>
      <c r="T226" s="64">
        <v>1.0</v>
      </c>
      <c r="U226" s="68">
        <v>0.0</v>
      </c>
      <c r="V226" s="64">
        <v>5.0</v>
      </c>
      <c r="W226" s="68">
        <f t="shared" si="19"/>
        <v>6</v>
      </c>
      <c r="X226" s="117"/>
      <c r="Y226" s="173"/>
      <c r="Z226" s="65"/>
    </row>
    <row r="227" ht="14.25" customHeight="1">
      <c r="B227" s="148"/>
      <c r="C227" s="144"/>
      <c r="D227" s="70" t="s">
        <v>1017</v>
      </c>
      <c r="E227" s="70"/>
      <c r="L227" s="61"/>
      <c r="M227" s="62"/>
      <c r="N227" s="63"/>
      <c r="O227" s="62"/>
      <c r="P227" s="63"/>
      <c r="Q227" s="62"/>
      <c r="R227" s="63"/>
      <c r="S227" s="68">
        <v>0.0</v>
      </c>
      <c r="T227" s="64">
        <v>0.0</v>
      </c>
      <c r="U227" s="68">
        <v>0.0</v>
      </c>
      <c r="V227" s="64">
        <v>6.0</v>
      </c>
      <c r="W227" s="68">
        <f t="shared" si="19"/>
        <v>6</v>
      </c>
      <c r="X227" s="117"/>
      <c r="Y227" s="173"/>
      <c r="Z227" s="65"/>
    </row>
    <row r="228" ht="14.25" customHeight="1">
      <c r="B228" s="148"/>
      <c r="C228" s="144"/>
      <c r="D228" s="70" t="s">
        <v>998</v>
      </c>
      <c r="E228" s="70"/>
      <c r="L228" s="61"/>
      <c r="M228" s="62"/>
      <c r="N228" s="63"/>
      <c r="O228" s="62"/>
      <c r="P228" s="63"/>
      <c r="Q228" s="62"/>
      <c r="R228" s="63"/>
      <c r="S228" s="68">
        <v>0.0</v>
      </c>
      <c r="T228" s="64">
        <v>0.0</v>
      </c>
      <c r="U228" s="68">
        <v>0.0</v>
      </c>
      <c r="V228" s="64">
        <v>0.0</v>
      </c>
      <c r="W228" s="68">
        <f t="shared" si="19"/>
        <v>0</v>
      </c>
      <c r="X228" s="117"/>
      <c r="Y228" s="173"/>
      <c r="Z228" s="65"/>
    </row>
    <row r="229" ht="14.25" customHeight="1">
      <c r="B229" s="148"/>
      <c r="C229" s="144"/>
      <c r="D229" s="70" t="s">
        <v>999</v>
      </c>
      <c r="E229" s="70"/>
      <c r="L229" s="61"/>
      <c r="M229" s="62"/>
      <c r="N229" s="63"/>
      <c r="O229" s="62"/>
      <c r="P229" s="63"/>
      <c r="Q229" s="62"/>
      <c r="R229" s="63"/>
      <c r="S229" s="68">
        <v>0.0</v>
      </c>
      <c r="T229" s="64">
        <v>0.0</v>
      </c>
      <c r="U229" s="68">
        <v>0.0</v>
      </c>
      <c r="V229" s="64">
        <v>0.0</v>
      </c>
      <c r="W229" s="68">
        <f t="shared" si="19"/>
        <v>0</v>
      </c>
      <c r="X229" s="117"/>
      <c r="Y229" s="173"/>
      <c r="Z229" s="65"/>
    </row>
    <row r="230" ht="14.25" customHeight="1">
      <c r="B230" s="148"/>
      <c r="C230" s="144"/>
      <c r="D230" s="70"/>
      <c r="E230" s="70"/>
      <c r="L230" s="61"/>
      <c r="M230" s="62"/>
      <c r="N230" s="63"/>
      <c r="O230" s="62"/>
      <c r="P230" s="63"/>
      <c r="Q230" s="62"/>
      <c r="R230" s="63"/>
      <c r="S230" s="68"/>
      <c r="T230" s="64"/>
      <c r="U230" s="68"/>
      <c r="V230" s="64"/>
      <c r="W230" s="68"/>
      <c r="X230" s="117"/>
      <c r="Y230" s="173"/>
      <c r="Z230" s="65"/>
    </row>
    <row r="231" ht="14.25" customHeight="1">
      <c r="B231" s="69"/>
      <c r="C231" s="144"/>
      <c r="D231" s="144" t="s">
        <v>1018</v>
      </c>
      <c r="E231" s="144"/>
      <c r="L231" s="61"/>
      <c r="M231" s="62"/>
      <c r="N231" s="63"/>
      <c r="O231" s="62"/>
      <c r="P231" s="63"/>
      <c r="Q231" s="62"/>
      <c r="R231" s="63"/>
      <c r="S231" s="68"/>
      <c r="T231" s="64"/>
      <c r="U231" s="68"/>
      <c r="V231" s="64"/>
      <c r="W231" s="68"/>
      <c r="X231" s="117"/>
      <c r="Y231" s="173"/>
      <c r="Z231" s="65"/>
    </row>
    <row r="232" ht="14.25" customHeight="1">
      <c r="B232" s="148"/>
      <c r="C232" s="70"/>
      <c r="D232" s="70" t="s">
        <v>1019</v>
      </c>
      <c r="L232" s="61"/>
      <c r="M232" s="62"/>
      <c r="N232" s="63"/>
      <c r="O232" s="62"/>
      <c r="P232" s="63"/>
      <c r="Q232" s="62"/>
      <c r="R232" s="63"/>
      <c r="S232" s="68"/>
      <c r="T232" s="64"/>
      <c r="U232" s="68"/>
      <c r="V232" s="64"/>
      <c r="W232" s="68"/>
      <c r="X232" s="117"/>
      <c r="Y232" s="173"/>
      <c r="Z232" s="65"/>
    </row>
    <row r="233" ht="14.25" customHeight="1">
      <c r="B233" s="148"/>
      <c r="C233" s="144"/>
      <c r="D233" s="70" t="s">
        <v>1002</v>
      </c>
      <c r="E233" s="70"/>
      <c r="L233" s="61"/>
      <c r="M233" s="62"/>
      <c r="N233" s="63"/>
      <c r="O233" s="62"/>
      <c r="P233" s="63"/>
      <c r="Q233" s="62"/>
      <c r="R233" s="63"/>
      <c r="S233" s="68">
        <v>0.0</v>
      </c>
      <c r="T233" s="64">
        <v>0.0</v>
      </c>
      <c r="U233" s="68">
        <v>0.0</v>
      </c>
      <c r="V233" s="64">
        <v>0.0</v>
      </c>
      <c r="W233" s="68">
        <f t="shared" ref="W233:W240" si="20">SUM(S233:V233)</f>
        <v>0</v>
      </c>
      <c r="X233" s="117"/>
      <c r="Y233" s="173"/>
      <c r="Z233" s="65"/>
    </row>
    <row r="234" ht="14.25" customHeight="1">
      <c r="B234" s="148"/>
      <c r="C234" s="144"/>
      <c r="D234" s="70" t="s">
        <v>985</v>
      </c>
      <c r="E234" s="70"/>
      <c r="L234" s="61"/>
      <c r="M234" s="62"/>
      <c r="N234" s="63"/>
      <c r="O234" s="62"/>
      <c r="P234" s="63"/>
      <c r="Q234" s="62"/>
      <c r="R234" s="63"/>
      <c r="S234" s="68">
        <v>0.0</v>
      </c>
      <c r="T234" s="64">
        <v>0.0</v>
      </c>
      <c r="U234" s="68">
        <v>0.0</v>
      </c>
      <c r="V234" s="64">
        <v>0.0</v>
      </c>
      <c r="W234" s="68">
        <f t="shared" si="20"/>
        <v>0</v>
      </c>
      <c r="X234" s="117"/>
      <c r="Y234" s="173"/>
      <c r="Z234" s="65"/>
    </row>
    <row r="235" ht="14.25" customHeight="1">
      <c r="B235" s="148"/>
      <c r="C235" s="144"/>
      <c r="D235" s="70" t="s">
        <v>986</v>
      </c>
      <c r="E235" s="70"/>
      <c r="L235" s="61"/>
      <c r="M235" s="62"/>
      <c r="N235" s="63"/>
      <c r="O235" s="62"/>
      <c r="P235" s="63"/>
      <c r="Q235" s="62"/>
      <c r="R235" s="63"/>
      <c r="S235" s="68">
        <v>0.0</v>
      </c>
      <c r="T235" s="64">
        <v>0.0</v>
      </c>
      <c r="U235" s="68">
        <v>0.0</v>
      </c>
      <c r="V235" s="64">
        <v>0.0</v>
      </c>
      <c r="W235" s="68">
        <f t="shared" si="20"/>
        <v>0</v>
      </c>
      <c r="X235" s="117"/>
      <c r="Y235" s="173"/>
      <c r="Z235" s="65"/>
    </row>
    <row r="236" ht="14.25" customHeight="1">
      <c r="B236" s="148"/>
      <c r="C236" s="144"/>
      <c r="D236" s="70" t="s">
        <v>995</v>
      </c>
      <c r="E236" s="70"/>
      <c r="L236" s="61"/>
      <c r="M236" s="62"/>
      <c r="N236" s="63"/>
      <c r="O236" s="62"/>
      <c r="P236" s="63"/>
      <c r="Q236" s="62"/>
      <c r="R236" s="63"/>
      <c r="S236" s="68">
        <v>0.0</v>
      </c>
      <c r="T236" s="64">
        <v>0.0</v>
      </c>
      <c r="U236" s="68">
        <v>0.0</v>
      </c>
      <c r="V236" s="64">
        <v>0.0</v>
      </c>
      <c r="W236" s="68">
        <f t="shared" si="20"/>
        <v>0</v>
      </c>
      <c r="X236" s="117"/>
      <c r="Y236" s="173"/>
      <c r="Z236" s="65"/>
    </row>
    <row r="237" ht="14.25" customHeight="1">
      <c r="B237" s="148"/>
      <c r="C237" s="144"/>
      <c r="D237" s="70" t="s">
        <v>996</v>
      </c>
      <c r="E237" s="70"/>
      <c r="L237" s="61"/>
      <c r="M237" s="62"/>
      <c r="N237" s="63"/>
      <c r="O237" s="62"/>
      <c r="P237" s="63"/>
      <c r="Q237" s="62"/>
      <c r="R237" s="63"/>
      <c r="S237" s="68">
        <v>0.0</v>
      </c>
      <c r="T237" s="64">
        <v>12.0</v>
      </c>
      <c r="U237" s="68">
        <v>0.0</v>
      </c>
      <c r="V237" s="64">
        <v>9.0</v>
      </c>
      <c r="W237" s="68">
        <f t="shared" si="20"/>
        <v>21</v>
      </c>
      <c r="X237" s="117"/>
      <c r="Y237" s="173"/>
      <c r="Z237" s="65"/>
    </row>
    <row r="238" ht="14.25" customHeight="1">
      <c r="B238" s="148"/>
      <c r="C238" s="144"/>
      <c r="D238" s="70" t="s">
        <v>1020</v>
      </c>
      <c r="E238" s="70"/>
      <c r="L238" s="61"/>
      <c r="M238" s="62"/>
      <c r="N238" s="63"/>
      <c r="O238" s="62"/>
      <c r="P238" s="63"/>
      <c r="Q238" s="62"/>
      <c r="R238" s="63"/>
      <c r="S238" s="68">
        <v>4.0</v>
      </c>
      <c r="T238" s="64">
        <v>13.0</v>
      </c>
      <c r="U238" s="68">
        <v>0.0</v>
      </c>
      <c r="V238" s="64">
        <v>0.0</v>
      </c>
      <c r="W238" s="68">
        <f t="shared" si="20"/>
        <v>17</v>
      </c>
      <c r="X238" s="117"/>
      <c r="Y238" s="173"/>
      <c r="Z238" s="65"/>
    </row>
    <row r="239" ht="14.25" customHeight="1">
      <c r="B239" s="148"/>
      <c r="C239" s="144"/>
      <c r="D239" s="70" t="s">
        <v>1021</v>
      </c>
      <c r="E239" s="70"/>
      <c r="L239" s="61"/>
      <c r="M239" s="62"/>
      <c r="N239" s="63"/>
      <c r="O239" s="62"/>
      <c r="P239" s="63"/>
      <c r="Q239" s="62"/>
      <c r="R239" s="63"/>
      <c r="S239" s="68">
        <v>0.0</v>
      </c>
      <c r="T239" s="64">
        <v>0.0</v>
      </c>
      <c r="U239" s="68">
        <v>0.0</v>
      </c>
      <c r="V239" s="64">
        <v>3.0</v>
      </c>
      <c r="W239" s="68">
        <f t="shared" si="20"/>
        <v>3</v>
      </c>
      <c r="X239" s="117"/>
      <c r="Y239" s="173"/>
      <c r="Z239" s="65"/>
    </row>
    <row r="240" ht="14.25" customHeight="1">
      <c r="B240" s="148"/>
      <c r="C240" s="144"/>
      <c r="D240" s="70" t="s">
        <v>1022</v>
      </c>
      <c r="E240" s="70"/>
      <c r="L240" s="61"/>
      <c r="M240" s="62"/>
      <c r="N240" s="63"/>
      <c r="O240" s="62"/>
      <c r="P240" s="63"/>
      <c r="Q240" s="62"/>
      <c r="R240" s="63"/>
      <c r="S240" s="68">
        <v>0.0</v>
      </c>
      <c r="T240" s="64">
        <v>0.0</v>
      </c>
      <c r="U240" s="68">
        <v>0.0</v>
      </c>
      <c r="V240" s="64">
        <v>2.0</v>
      </c>
      <c r="W240" s="68">
        <f t="shared" si="20"/>
        <v>2</v>
      </c>
      <c r="X240" s="117"/>
      <c r="Y240" s="173"/>
      <c r="Z240" s="65"/>
    </row>
    <row r="241" ht="14.25" customHeight="1">
      <c r="B241" s="148"/>
      <c r="C241" s="144"/>
      <c r="D241" s="70"/>
      <c r="E241" s="70"/>
      <c r="L241" s="61"/>
      <c r="M241" s="62"/>
      <c r="N241" s="63"/>
      <c r="O241" s="62"/>
      <c r="P241" s="63"/>
      <c r="Q241" s="62"/>
      <c r="R241" s="63"/>
      <c r="S241" s="68"/>
      <c r="T241" s="64"/>
      <c r="U241" s="68"/>
      <c r="V241" s="64"/>
      <c r="W241" s="68"/>
      <c r="X241" s="117"/>
      <c r="Y241" s="173"/>
      <c r="Z241" s="65"/>
    </row>
    <row r="242" ht="14.25" customHeight="1">
      <c r="B242" s="556" t="s">
        <v>1023</v>
      </c>
      <c r="C242" s="144"/>
      <c r="D242" s="70"/>
      <c r="E242" s="70"/>
      <c r="L242" s="61"/>
      <c r="M242" s="62"/>
      <c r="N242" s="63"/>
      <c r="O242" s="62"/>
      <c r="P242" s="63"/>
      <c r="Q242" s="62"/>
      <c r="R242" s="63"/>
      <c r="S242" s="68"/>
      <c r="T242" s="64"/>
      <c r="U242" s="68"/>
      <c r="V242" s="64"/>
      <c r="W242" s="68"/>
      <c r="X242" s="117"/>
      <c r="Y242" s="173"/>
      <c r="Z242" s="65"/>
    </row>
    <row r="243" ht="14.25" customHeight="1">
      <c r="B243" s="148"/>
      <c r="C243" s="144"/>
      <c r="D243" s="70"/>
      <c r="E243" s="70"/>
      <c r="L243" s="61"/>
      <c r="M243" s="62"/>
      <c r="N243" s="63"/>
      <c r="O243" s="62"/>
      <c r="P243" s="63"/>
      <c r="Q243" s="62"/>
      <c r="R243" s="63"/>
      <c r="S243" s="68"/>
      <c r="T243" s="64"/>
      <c r="U243" s="68"/>
      <c r="V243" s="64"/>
      <c r="W243" s="68"/>
      <c r="X243" s="117"/>
      <c r="Y243" s="173"/>
      <c r="Z243" s="65"/>
    </row>
    <row r="244" ht="14.25" customHeight="1">
      <c r="B244" s="557" t="s">
        <v>1024</v>
      </c>
      <c r="C244" s="558" t="s">
        <v>866</v>
      </c>
      <c r="D244" s="194" t="s">
        <v>1025</v>
      </c>
      <c r="E244" s="183"/>
      <c r="L244" s="61"/>
      <c r="M244" s="62"/>
      <c r="N244" s="63">
        <v>656.0</v>
      </c>
      <c r="O244" s="62">
        <v>656.0</v>
      </c>
      <c r="P244" s="63">
        <v>656.0</v>
      </c>
      <c r="Q244" s="62">
        <v>656.0</v>
      </c>
      <c r="R244" s="64">
        <f>SUM(N244:Q244)</f>
        <v>2624</v>
      </c>
      <c r="S244" s="68">
        <f t="shared" ref="S244:V244" si="21">SUM(S245:S250)</f>
        <v>744</v>
      </c>
      <c r="T244" s="64">
        <f t="shared" si="21"/>
        <v>3474</v>
      </c>
      <c r="U244" s="68">
        <f t="shared" si="21"/>
        <v>5306</v>
      </c>
      <c r="V244" s="64">
        <f t="shared" si="21"/>
        <v>4123</v>
      </c>
      <c r="W244" s="68">
        <f t="shared" ref="W244:W250" si="22">SUM(S244:V244)</f>
        <v>13647</v>
      </c>
      <c r="X244" s="546">
        <f>R244-W244</f>
        <v>-11023</v>
      </c>
      <c r="Y244" s="173"/>
      <c r="Z244" s="65"/>
    </row>
    <row r="245" ht="14.25" customHeight="1">
      <c r="B245" s="148"/>
      <c r="C245" s="183"/>
      <c r="D245" s="154" t="s">
        <v>1026</v>
      </c>
      <c r="L245" s="61"/>
      <c r="M245" s="62"/>
      <c r="N245" s="63"/>
      <c r="O245" s="62"/>
      <c r="P245" s="63"/>
      <c r="Q245" s="62"/>
      <c r="R245" s="78"/>
      <c r="S245" s="68">
        <v>3.0</v>
      </c>
      <c r="T245" s="64">
        <v>18.0</v>
      </c>
      <c r="U245" s="68">
        <v>16.0</v>
      </c>
      <c r="V245" s="64">
        <v>16.0</v>
      </c>
      <c r="W245" s="68">
        <f t="shared" si="22"/>
        <v>53</v>
      </c>
      <c r="X245" s="117"/>
      <c r="Y245" s="173"/>
      <c r="Z245" s="65"/>
    </row>
    <row r="246" ht="14.25" customHeight="1">
      <c r="B246" s="148"/>
      <c r="C246" s="183"/>
      <c r="D246" s="154" t="s">
        <v>1027</v>
      </c>
      <c r="L246" s="61"/>
      <c r="M246" s="62"/>
      <c r="N246" s="63"/>
      <c r="O246" s="62"/>
      <c r="P246" s="63"/>
      <c r="Q246" s="62"/>
      <c r="R246" s="78"/>
      <c r="S246" s="68">
        <v>68.0</v>
      </c>
      <c r="T246" s="64">
        <v>650.0</v>
      </c>
      <c r="U246" s="68">
        <v>189.0</v>
      </c>
      <c r="V246" s="64">
        <v>617.0</v>
      </c>
      <c r="W246" s="68">
        <f t="shared" si="22"/>
        <v>1524</v>
      </c>
      <c r="X246" s="117"/>
      <c r="Y246" s="173"/>
      <c r="Z246" s="65"/>
    </row>
    <row r="247" ht="14.25" customHeight="1">
      <c r="B247" s="148"/>
      <c r="C247" s="183"/>
      <c r="D247" s="154" t="s">
        <v>1028</v>
      </c>
      <c r="L247" s="61"/>
      <c r="M247" s="62"/>
      <c r="N247" s="63"/>
      <c r="O247" s="62"/>
      <c r="P247" s="63"/>
      <c r="Q247" s="62"/>
      <c r="R247" s="78"/>
      <c r="S247" s="68">
        <v>556.0</v>
      </c>
      <c r="T247" s="64">
        <v>2336.0</v>
      </c>
      <c r="U247" s="68">
        <v>4038.0</v>
      </c>
      <c r="V247" s="64">
        <v>2798.0</v>
      </c>
      <c r="W247" s="68">
        <f t="shared" si="22"/>
        <v>9728</v>
      </c>
      <c r="X247" s="117"/>
      <c r="Y247" s="173"/>
      <c r="Z247" s="65"/>
    </row>
    <row r="248" ht="14.25" customHeight="1">
      <c r="B248" s="148"/>
      <c r="C248" s="183"/>
      <c r="D248" s="154" t="s">
        <v>1029</v>
      </c>
      <c r="L248" s="61"/>
      <c r="M248" s="62"/>
      <c r="N248" s="63"/>
      <c r="O248" s="62"/>
      <c r="P248" s="63"/>
      <c r="Q248" s="62"/>
      <c r="R248" s="78"/>
      <c r="S248" s="68">
        <v>0.0</v>
      </c>
      <c r="T248" s="64">
        <v>1.0</v>
      </c>
      <c r="U248" s="68">
        <v>90.0</v>
      </c>
      <c r="V248" s="64">
        <v>91.0</v>
      </c>
      <c r="W248" s="68">
        <f t="shared" si="22"/>
        <v>182</v>
      </c>
      <c r="X248" s="117"/>
      <c r="Y248" s="173"/>
      <c r="Z248" s="65"/>
    </row>
    <row r="249" ht="14.25" customHeight="1">
      <c r="B249" s="148"/>
      <c r="C249" s="183"/>
      <c r="D249" s="154" t="s">
        <v>1030</v>
      </c>
      <c r="L249" s="61"/>
      <c r="M249" s="62"/>
      <c r="N249" s="63"/>
      <c r="O249" s="62"/>
      <c r="P249" s="63"/>
      <c r="Q249" s="62"/>
      <c r="R249" s="78"/>
      <c r="S249" s="68">
        <v>117.0</v>
      </c>
      <c r="T249" s="64">
        <v>469.0</v>
      </c>
      <c r="U249" s="68">
        <v>838.0</v>
      </c>
      <c r="V249" s="64">
        <v>568.0</v>
      </c>
      <c r="W249" s="68">
        <f t="shared" si="22"/>
        <v>1992</v>
      </c>
      <c r="X249" s="117"/>
      <c r="Y249" s="173"/>
      <c r="Z249" s="65"/>
    </row>
    <row r="250" ht="14.25" customHeight="1">
      <c r="B250" s="148"/>
      <c r="C250" s="183"/>
      <c r="D250" s="154" t="s">
        <v>1031</v>
      </c>
      <c r="L250" s="61"/>
      <c r="M250" s="62"/>
      <c r="N250" s="63"/>
      <c r="O250" s="62"/>
      <c r="P250" s="63"/>
      <c r="Q250" s="62"/>
      <c r="R250" s="78"/>
      <c r="S250" s="68">
        <v>0.0</v>
      </c>
      <c r="T250" s="64">
        <v>0.0</v>
      </c>
      <c r="U250" s="68">
        <v>135.0</v>
      </c>
      <c r="V250" s="64">
        <v>33.0</v>
      </c>
      <c r="W250" s="68">
        <f t="shared" si="22"/>
        <v>168</v>
      </c>
      <c r="X250" s="117"/>
      <c r="Y250" s="173"/>
      <c r="Z250" s="65"/>
    </row>
    <row r="251" ht="14.25" customHeight="1">
      <c r="B251" s="148"/>
      <c r="C251" s="183"/>
      <c r="D251" s="77"/>
      <c r="E251" s="77"/>
      <c r="L251" s="61"/>
      <c r="M251" s="62"/>
      <c r="N251" s="63"/>
      <c r="O251" s="62"/>
      <c r="P251" s="63"/>
      <c r="Q251" s="62"/>
      <c r="R251" s="63"/>
      <c r="S251" s="68"/>
      <c r="T251" s="64"/>
      <c r="U251" s="68"/>
      <c r="V251" s="64"/>
      <c r="W251" s="68"/>
      <c r="X251" s="117"/>
      <c r="Y251" s="173"/>
      <c r="Z251" s="65"/>
    </row>
    <row r="252" ht="14.25" customHeight="1">
      <c r="B252" s="148"/>
      <c r="C252" s="555" t="s">
        <v>906</v>
      </c>
      <c r="D252" s="183" t="s">
        <v>1032</v>
      </c>
      <c r="E252" s="183"/>
      <c r="L252" s="61"/>
      <c r="M252" s="62"/>
      <c r="N252" s="63"/>
      <c r="O252" s="62"/>
      <c r="P252" s="63"/>
      <c r="Q252" s="62"/>
      <c r="R252" s="63"/>
      <c r="S252" s="68"/>
      <c r="T252" s="64"/>
      <c r="U252" s="68"/>
      <c r="V252" s="64"/>
      <c r="W252" s="68"/>
      <c r="X252" s="117"/>
      <c r="Y252" s="173"/>
      <c r="Z252" s="65"/>
    </row>
    <row r="253" ht="14.25" customHeight="1">
      <c r="B253" s="148"/>
      <c r="C253" s="183"/>
      <c r="D253" s="154" t="s">
        <v>1026</v>
      </c>
      <c r="L253" s="61"/>
      <c r="M253" s="62"/>
      <c r="N253" s="63"/>
      <c r="O253" s="62"/>
      <c r="P253" s="63"/>
      <c r="Q253" s="62"/>
      <c r="R253" s="63"/>
      <c r="S253" s="68"/>
      <c r="T253" s="64"/>
      <c r="U253" s="68"/>
      <c r="V253" s="64"/>
      <c r="W253" s="68">
        <f t="shared" ref="W253:W262" si="23">SUM(S253:V253)</f>
        <v>0</v>
      </c>
      <c r="X253" s="117"/>
      <c r="Y253" s="173"/>
      <c r="Z253" s="65"/>
    </row>
    <row r="254" ht="14.25" customHeight="1">
      <c r="B254" s="148"/>
      <c r="C254" s="183"/>
      <c r="D254" s="70" t="s">
        <v>915</v>
      </c>
      <c r="L254" s="61"/>
      <c r="M254" s="62"/>
      <c r="N254" s="64"/>
      <c r="O254" s="62"/>
      <c r="P254" s="63"/>
      <c r="Q254" s="62"/>
      <c r="R254" s="63"/>
      <c r="S254" s="64">
        <v>3.0</v>
      </c>
      <c r="T254" s="64">
        <v>0.0</v>
      </c>
      <c r="U254" s="68">
        <v>0.0</v>
      </c>
      <c r="V254" s="64">
        <v>0.0</v>
      </c>
      <c r="W254" s="68">
        <f t="shared" si="23"/>
        <v>3</v>
      </c>
      <c r="X254" s="117"/>
      <c r="Y254" s="173"/>
      <c r="Z254" s="65"/>
    </row>
    <row r="255" ht="14.25" customHeight="1">
      <c r="B255" s="148"/>
      <c r="C255" s="183"/>
      <c r="D255" s="70" t="s">
        <v>908</v>
      </c>
      <c r="L255" s="61"/>
      <c r="M255" s="62"/>
      <c r="N255" s="64"/>
      <c r="O255" s="62"/>
      <c r="P255" s="63"/>
      <c r="Q255" s="62"/>
      <c r="R255" s="63"/>
      <c r="S255" s="64">
        <v>0.0</v>
      </c>
      <c r="T255" s="64">
        <v>6.0</v>
      </c>
      <c r="U255" s="68">
        <v>3.0</v>
      </c>
      <c r="V255" s="64">
        <v>6.0</v>
      </c>
      <c r="W255" s="68">
        <f t="shared" si="23"/>
        <v>15</v>
      </c>
      <c r="X255" s="117"/>
      <c r="Y255" s="173"/>
      <c r="Z255" s="65"/>
    </row>
    <row r="256" ht="14.25" customHeight="1">
      <c r="B256" s="148"/>
      <c r="C256" s="183"/>
      <c r="D256" s="70" t="s">
        <v>909</v>
      </c>
      <c r="L256" s="61"/>
      <c r="M256" s="62"/>
      <c r="N256" s="64"/>
      <c r="O256" s="62"/>
      <c r="P256" s="63"/>
      <c r="Q256" s="62"/>
      <c r="R256" s="63"/>
      <c r="S256" s="64">
        <v>1.0</v>
      </c>
      <c r="T256" s="64">
        <v>1.0</v>
      </c>
      <c r="U256" s="68">
        <v>3.0</v>
      </c>
      <c r="V256" s="64">
        <v>0.0</v>
      </c>
      <c r="W256" s="68">
        <f t="shared" si="23"/>
        <v>5</v>
      </c>
      <c r="X256" s="117"/>
      <c r="Y256" s="173"/>
      <c r="Z256" s="65"/>
    </row>
    <row r="257" ht="14.25" customHeight="1">
      <c r="B257" s="148"/>
      <c r="C257" s="183"/>
      <c r="D257" s="91" t="s">
        <v>910</v>
      </c>
      <c r="L257" s="61"/>
      <c r="M257" s="62"/>
      <c r="N257" s="64"/>
      <c r="O257" s="62"/>
      <c r="P257" s="63"/>
      <c r="Q257" s="62"/>
      <c r="R257" s="63"/>
      <c r="S257" s="64">
        <v>1.0</v>
      </c>
      <c r="T257" s="64">
        <v>1.0</v>
      </c>
      <c r="U257" s="68">
        <v>2.0</v>
      </c>
      <c r="V257" s="64">
        <v>2.0</v>
      </c>
      <c r="W257" s="68">
        <f t="shared" si="23"/>
        <v>6</v>
      </c>
      <c r="X257" s="117"/>
      <c r="Y257" s="173"/>
      <c r="Z257" s="65"/>
    </row>
    <row r="258" ht="14.25" customHeight="1">
      <c r="B258" s="148"/>
      <c r="C258" s="183"/>
      <c r="D258" s="91" t="s">
        <v>913</v>
      </c>
      <c r="L258" s="61"/>
      <c r="M258" s="62"/>
      <c r="N258" s="64"/>
      <c r="O258" s="62"/>
      <c r="P258" s="63"/>
      <c r="Q258" s="62"/>
      <c r="R258" s="63"/>
      <c r="S258" s="64">
        <v>0.0</v>
      </c>
      <c r="T258" s="64">
        <v>1.0</v>
      </c>
      <c r="U258" s="68">
        <v>4.0</v>
      </c>
      <c r="V258" s="64">
        <v>1.0</v>
      </c>
      <c r="W258" s="68">
        <f t="shared" si="23"/>
        <v>6</v>
      </c>
      <c r="X258" s="117"/>
      <c r="Y258" s="173"/>
      <c r="Z258" s="65"/>
    </row>
    <row r="259" ht="14.25" customHeight="1">
      <c r="B259" s="148"/>
      <c r="C259" s="183"/>
      <c r="D259" s="91" t="s">
        <v>1033</v>
      </c>
      <c r="L259" s="61"/>
      <c r="M259" s="62"/>
      <c r="N259" s="64"/>
      <c r="O259" s="62"/>
      <c r="P259" s="63"/>
      <c r="Q259" s="62"/>
      <c r="R259" s="63"/>
      <c r="S259" s="64">
        <v>0.0</v>
      </c>
      <c r="T259" s="64">
        <v>7.0</v>
      </c>
      <c r="U259" s="68">
        <v>2.0</v>
      </c>
      <c r="V259" s="64">
        <v>4.0</v>
      </c>
      <c r="W259" s="68">
        <f t="shared" si="23"/>
        <v>13</v>
      </c>
      <c r="X259" s="117"/>
      <c r="Y259" s="173"/>
      <c r="Z259" s="65"/>
    </row>
    <row r="260" ht="14.25" customHeight="1">
      <c r="B260" s="148"/>
      <c r="C260" s="183"/>
      <c r="D260" s="70" t="s">
        <v>961</v>
      </c>
      <c r="L260" s="61"/>
      <c r="M260" s="62"/>
      <c r="N260" s="64"/>
      <c r="O260" s="62"/>
      <c r="P260" s="63"/>
      <c r="Q260" s="62"/>
      <c r="R260" s="63"/>
      <c r="S260" s="64">
        <v>1.0</v>
      </c>
      <c r="T260" s="64">
        <v>0.0</v>
      </c>
      <c r="U260" s="68">
        <v>0.0</v>
      </c>
      <c r="V260" s="64">
        <v>0.0</v>
      </c>
      <c r="W260" s="68">
        <f t="shared" si="23"/>
        <v>1</v>
      </c>
      <c r="X260" s="117"/>
      <c r="Y260" s="173"/>
      <c r="Z260" s="65"/>
    </row>
    <row r="261" ht="14.25" customHeight="1">
      <c r="B261" s="148"/>
      <c r="C261" s="183"/>
      <c r="D261" s="70" t="s">
        <v>963</v>
      </c>
      <c r="L261" s="61"/>
      <c r="M261" s="62"/>
      <c r="N261" s="64"/>
      <c r="O261" s="62"/>
      <c r="P261" s="63"/>
      <c r="Q261" s="62"/>
      <c r="R261" s="63"/>
      <c r="S261" s="64">
        <v>0.0</v>
      </c>
      <c r="T261" s="64">
        <v>2.0</v>
      </c>
      <c r="U261" s="68">
        <v>3.0</v>
      </c>
      <c r="V261" s="64">
        <v>3.0</v>
      </c>
      <c r="W261" s="68">
        <f t="shared" si="23"/>
        <v>8</v>
      </c>
      <c r="X261" s="117"/>
      <c r="Y261" s="173"/>
      <c r="Z261" s="65"/>
    </row>
    <row r="262" ht="14.25" customHeight="1">
      <c r="B262" s="148"/>
      <c r="C262" s="183"/>
      <c r="D262" s="77"/>
      <c r="E262" s="77" t="s">
        <v>1034</v>
      </c>
      <c r="L262" s="61"/>
      <c r="M262" s="62"/>
      <c r="N262" s="63"/>
      <c r="O262" s="62"/>
      <c r="P262" s="63"/>
      <c r="Q262" s="62"/>
      <c r="R262" s="63"/>
      <c r="S262" s="64">
        <v>0.0</v>
      </c>
      <c r="T262" s="64">
        <v>2.0</v>
      </c>
      <c r="U262" s="68">
        <v>3.0</v>
      </c>
      <c r="V262" s="64">
        <v>3.0</v>
      </c>
      <c r="W262" s="68">
        <f t="shared" si="23"/>
        <v>8</v>
      </c>
      <c r="X262" s="117"/>
      <c r="Y262" s="173"/>
      <c r="Z262" s="65"/>
    </row>
    <row r="263" ht="14.25" customHeight="1">
      <c r="B263" s="148"/>
      <c r="C263" s="183"/>
      <c r="D263" s="77"/>
      <c r="E263" s="77"/>
      <c r="L263" s="61"/>
      <c r="M263" s="62"/>
      <c r="N263" s="63"/>
      <c r="O263" s="62"/>
      <c r="P263" s="63"/>
      <c r="Q263" s="62"/>
      <c r="R263" s="63"/>
      <c r="S263" s="63"/>
      <c r="T263" s="64"/>
      <c r="U263" s="68"/>
      <c r="V263" s="64"/>
      <c r="W263" s="68"/>
      <c r="X263" s="117"/>
      <c r="Y263" s="173"/>
      <c r="Z263" s="65"/>
    </row>
    <row r="264" ht="14.25" customHeight="1">
      <c r="B264" s="148"/>
      <c r="C264" s="183"/>
      <c r="D264" s="154" t="s">
        <v>1027</v>
      </c>
      <c r="E264" s="77"/>
      <c r="L264" s="61"/>
      <c r="M264" s="62"/>
      <c r="N264" s="63"/>
      <c r="O264" s="62"/>
      <c r="P264" s="63"/>
      <c r="Q264" s="62"/>
      <c r="R264" s="63"/>
      <c r="S264" s="63"/>
      <c r="T264" s="64"/>
      <c r="U264" s="68"/>
      <c r="V264" s="64"/>
      <c r="W264" s="68">
        <f t="shared" ref="W264:W273" si="24">SUM(S264:V264)</f>
        <v>0</v>
      </c>
      <c r="X264" s="117"/>
      <c r="Y264" s="173"/>
      <c r="Z264" s="65"/>
    </row>
    <row r="265" ht="14.25" customHeight="1">
      <c r="B265" s="148"/>
      <c r="C265" s="183"/>
      <c r="D265" s="70" t="s">
        <v>915</v>
      </c>
      <c r="E265" s="233"/>
      <c r="L265" s="61"/>
      <c r="M265" s="62"/>
      <c r="N265" s="64"/>
      <c r="O265" s="62"/>
      <c r="P265" s="63"/>
      <c r="Q265" s="62"/>
      <c r="R265" s="63"/>
      <c r="S265" s="64">
        <v>0.0</v>
      </c>
      <c r="T265" s="64">
        <v>0.0</v>
      </c>
      <c r="U265" s="68">
        <v>0.0</v>
      </c>
      <c r="V265" s="64">
        <v>0.0</v>
      </c>
      <c r="W265" s="68">
        <f t="shared" si="24"/>
        <v>0</v>
      </c>
      <c r="X265" s="117"/>
      <c r="Y265" s="173"/>
      <c r="Z265" s="65"/>
    </row>
    <row r="266" ht="14.25" customHeight="1">
      <c r="B266" s="148"/>
      <c r="C266" s="183"/>
      <c r="D266" s="70" t="s">
        <v>908</v>
      </c>
      <c r="E266" s="77"/>
      <c r="L266" s="61"/>
      <c r="M266" s="62"/>
      <c r="N266" s="64"/>
      <c r="O266" s="62"/>
      <c r="P266" s="63"/>
      <c r="Q266" s="62"/>
      <c r="R266" s="63"/>
      <c r="S266" s="64">
        <v>24.0</v>
      </c>
      <c r="T266" s="64">
        <v>125.0</v>
      </c>
      <c r="U266" s="68">
        <v>171.0</v>
      </c>
      <c r="V266" s="64">
        <v>185.0</v>
      </c>
      <c r="W266" s="68">
        <f t="shared" si="24"/>
        <v>505</v>
      </c>
      <c r="X266" s="117"/>
      <c r="Y266" s="173"/>
      <c r="Z266" s="65"/>
    </row>
    <row r="267" ht="14.25" customHeight="1">
      <c r="B267" s="148"/>
      <c r="C267" s="183"/>
      <c r="D267" s="91" t="s">
        <v>909</v>
      </c>
      <c r="E267" s="233"/>
      <c r="L267" s="61"/>
      <c r="M267" s="62"/>
      <c r="N267" s="64"/>
      <c r="O267" s="62"/>
      <c r="P267" s="63"/>
      <c r="Q267" s="62"/>
      <c r="R267" s="63"/>
      <c r="S267" s="64">
        <v>6.0</v>
      </c>
      <c r="T267" s="64">
        <v>43.0</v>
      </c>
      <c r="U267" s="68">
        <v>51.0</v>
      </c>
      <c r="V267" s="64">
        <v>73.0</v>
      </c>
      <c r="W267" s="68">
        <f t="shared" si="24"/>
        <v>173</v>
      </c>
      <c r="X267" s="117"/>
      <c r="Y267" s="173"/>
      <c r="Z267" s="65"/>
    </row>
    <row r="268" ht="14.25" customHeight="1">
      <c r="B268" s="148"/>
      <c r="C268" s="183"/>
      <c r="D268" s="91" t="s">
        <v>910</v>
      </c>
      <c r="L268" s="61"/>
      <c r="M268" s="62"/>
      <c r="N268" s="64"/>
      <c r="O268" s="62"/>
      <c r="P268" s="63"/>
      <c r="Q268" s="62"/>
      <c r="R268" s="63"/>
      <c r="S268" s="64">
        <v>0.0</v>
      </c>
      <c r="T268" s="64">
        <v>7.0</v>
      </c>
      <c r="U268" s="68">
        <v>9.0</v>
      </c>
      <c r="V268" s="64">
        <v>4.0</v>
      </c>
      <c r="W268" s="68">
        <f t="shared" si="24"/>
        <v>20</v>
      </c>
      <c r="X268" s="117"/>
      <c r="Y268" s="173"/>
      <c r="Z268" s="65"/>
    </row>
    <row r="269" ht="14.25" customHeight="1">
      <c r="B269" s="148"/>
      <c r="C269" s="183"/>
      <c r="D269" s="91" t="s">
        <v>913</v>
      </c>
      <c r="L269" s="61"/>
      <c r="M269" s="62"/>
      <c r="N269" s="64"/>
      <c r="O269" s="62"/>
      <c r="P269" s="63"/>
      <c r="Q269" s="62"/>
      <c r="R269" s="63"/>
      <c r="S269" s="64">
        <v>0.0</v>
      </c>
      <c r="T269" s="64">
        <v>10.0</v>
      </c>
      <c r="U269" s="68">
        <v>17.0</v>
      </c>
      <c r="V269" s="64">
        <v>3.0</v>
      </c>
      <c r="W269" s="68">
        <f t="shared" si="24"/>
        <v>30</v>
      </c>
      <c r="X269" s="117"/>
      <c r="Y269" s="173"/>
      <c r="Z269" s="65"/>
    </row>
    <row r="270" ht="14.25" customHeight="1">
      <c r="B270" s="148"/>
      <c r="C270" s="183"/>
      <c r="D270" s="91" t="s">
        <v>1033</v>
      </c>
      <c r="L270" s="61"/>
      <c r="M270" s="62"/>
      <c r="N270" s="64"/>
      <c r="O270" s="62"/>
      <c r="P270" s="63"/>
      <c r="Q270" s="62"/>
      <c r="R270" s="63"/>
      <c r="S270" s="64">
        <v>37.0</v>
      </c>
      <c r="T270" s="64">
        <v>422.0</v>
      </c>
      <c r="U270" s="68">
        <v>36.0</v>
      </c>
      <c r="V270" s="64">
        <v>311.0</v>
      </c>
      <c r="W270" s="68">
        <f t="shared" si="24"/>
        <v>806</v>
      </c>
      <c r="X270" s="117"/>
      <c r="Y270" s="173"/>
      <c r="Z270" s="65"/>
    </row>
    <row r="271" ht="14.25" customHeight="1">
      <c r="B271" s="148"/>
      <c r="C271" s="183"/>
      <c r="D271" s="70" t="s">
        <v>961</v>
      </c>
      <c r="L271" s="61"/>
      <c r="M271" s="62"/>
      <c r="N271" s="64"/>
      <c r="O271" s="62"/>
      <c r="P271" s="63"/>
      <c r="Q271" s="62"/>
      <c r="R271" s="63"/>
      <c r="S271" s="64">
        <v>0.0</v>
      </c>
      <c r="T271" s="64">
        <v>0.0</v>
      </c>
      <c r="U271" s="68">
        <v>0.0</v>
      </c>
      <c r="V271" s="64">
        <v>0.0</v>
      </c>
      <c r="W271" s="68">
        <f t="shared" si="24"/>
        <v>0</v>
      </c>
      <c r="X271" s="117"/>
      <c r="Y271" s="173"/>
      <c r="Z271" s="65"/>
    </row>
    <row r="272" ht="14.25" customHeight="1">
      <c r="B272" s="148"/>
      <c r="C272" s="183"/>
      <c r="D272" s="70" t="s">
        <v>963</v>
      </c>
      <c r="L272" s="61"/>
      <c r="M272" s="62"/>
      <c r="N272" s="64"/>
      <c r="O272" s="62"/>
      <c r="P272" s="63"/>
      <c r="Q272" s="62"/>
      <c r="R272" s="63"/>
      <c r="S272" s="64">
        <v>2.0</v>
      </c>
      <c r="T272" s="64">
        <v>43.0</v>
      </c>
      <c r="U272" s="68">
        <v>43.0</v>
      </c>
      <c r="V272" s="64">
        <v>74.0</v>
      </c>
      <c r="W272" s="68">
        <f t="shared" si="24"/>
        <v>162</v>
      </c>
      <c r="X272" s="117"/>
      <c r="Y272" s="173"/>
      <c r="Z272" s="65"/>
    </row>
    <row r="273" ht="14.25" customHeight="1">
      <c r="B273" s="148"/>
      <c r="C273" s="183"/>
      <c r="D273" s="77"/>
      <c r="E273" s="118" t="s">
        <v>1034</v>
      </c>
      <c r="L273" s="61"/>
      <c r="M273" s="62"/>
      <c r="N273" s="64"/>
      <c r="O273" s="62"/>
      <c r="P273" s="63"/>
      <c r="Q273" s="62"/>
      <c r="R273" s="63"/>
      <c r="S273" s="64">
        <v>2.0</v>
      </c>
      <c r="T273" s="64">
        <v>43.0</v>
      </c>
      <c r="U273" s="68">
        <v>43.0</v>
      </c>
      <c r="V273" s="64">
        <v>74.0</v>
      </c>
      <c r="W273" s="68">
        <f t="shared" si="24"/>
        <v>162</v>
      </c>
      <c r="X273" s="117"/>
      <c r="Y273" s="173"/>
      <c r="Z273" s="65"/>
    </row>
    <row r="274" ht="14.25" customHeight="1">
      <c r="B274" s="148"/>
      <c r="C274" s="183"/>
      <c r="D274" s="77"/>
      <c r="L274" s="61"/>
      <c r="M274" s="62"/>
      <c r="N274" s="63"/>
      <c r="O274" s="62"/>
      <c r="P274" s="63"/>
      <c r="Q274" s="62"/>
      <c r="R274" s="63"/>
      <c r="S274" s="63"/>
      <c r="T274" s="64"/>
      <c r="U274" s="68"/>
      <c r="V274" s="64"/>
      <c r="W274" s="68"/>
      <c r="X274" s="117"/>
      <c r="Y274" s="173"/>
      <c r="Z274" s="65"/>
    </row>
    <row r="275" ht="14.25" customHeight="1">
      <c r="B275" s="148"/>
      <c r="C275" s="183"/>
      <c r="D275" s="154" t="s">
        <v>1035</v>
      </c>
      <c r="L275" s="61"/>
      <c r="M275" s="62"/>
      <c r="N275" s="63"/>
      <c r="O275" s="62"/>
      <c r="P275" s="63"/>
      <c r="Q275" s="62"/>
      <c r="R275" s="63"/>
      <c r="S275" s="63"/>
      <c r="T275" s="64"/>
      <c r="U275" s="68"/>
      <c r="V275" s="64"/>
      <c r="W275" s="68">
        <f t="shared" ref="W275:W294" si="25">SUM(S275:V275)</f>
        <v>0</v>
      </c>
      <c r="X275" s="117"/>
      <c r="Y275" s="173"/>
      <c r="Z275" s="65"/>
    </row>
    <row r="276" ht="14.25" customHeight="1">
      <c r="B276" s="148"/>
      <c r="C276" s="183"/>
      <c r="D276" s="70" t="s">
        <v>915</v>
      </c>
      <c r="L276" s="61"/>
      <c r="M276" s="62"/>
      <c r="N276" s="64"/>
      <c r="O276" s="62"/>
      <c r="P276" s="63"/>
      <c r="Q276" s="62"/>
      <c r="R276" s="63"/>
      <c r="S276" s="64">
        <v>0.0</v>
      </c>
      <c r="T276" s="64">
        <v>0.0</v>
      </c>
      <c r="U276" s="68">
        <v>0.0</v>
      </c>
      <c r="V276" s="64">
        <v>0.0</v>
      </c>
      <c r="W276" s="68">
        <f t="shared" si="25"/>
        <v>0</v>
      </c>
      <c r="X276" s="117"/>
      <c r="Y276" s="173"/>
      <c r="Z276" s="65"/>
    </row>
    <row r="277" ht="14.25" customHeight="1">
      <c r="B277" s="148"/>
      <c r="C277" s="183"/>
      <c r="D277" s="70" t="s">
        <v>908</v>
      </c>
      <c r="L277" s="61"/>
      <c r="M277" s="62"/>
      <c r="N277" s="64"/>
      <c r="O277" s="62"/>
      <c r="P277" s="63"/>
      <c r="Q277" s="62"/>
      <c r="R277" s="63"/>
      <c r="S277" s="64">
        <v>336.0</v>
      </c>
      <c r="T277" s="64">
        <v>1389.0</v>
      </c>
      <c r="U277" s="68">
        <v>2651.0</v>
      </c>
      <c r="V277" s="64">
        <v>1854.0</v>
      </c>
      <c r="W277" s="68">
        <f t="shared" si="25"/>
        <v>6230</v>
      </c>
      <c r="X277" s="117"/>
      <c r="Y277" s="173"/>
      <c r="Z277" s="65"/>
    </row>
    <row r="278" ht="14.25" customHeight="1">
      <c r="B278" s="148"/>
      <c r="C278" s="183"/>
      <c r="D278" s="91" t="s">
        <v>909</v>
      </c>
      <c r="E278" s="77"/>
      <c r="L278" s="61"/>
      <c r="M278" s="62"/>
      <c r="N278" s="64"/>
      <c r="O278" s="62"/>
      <c r="P278" s="63"/>
      <c r="Q278" s="62"/>
      <c r="R278" s="63"/>
      <c r="S278" s="64">
        <v>171.0</v>
      </c>
      <c r="T278" s="64">
        <v>495.0</v>
      </c>
      <c r="U278" s="68">
        <v>710.0</v>
      </c>
      <c r="V278" s="64">
        <v>637.0</v>
      </c>
      <c r="W278" s="68">
        <f t="shared" si="25"/>
        <v>2013</v>
      </c>
      <c r="X278" s="117"/>
      <c r="Y278" s="173"/>
      <c r="Z278" s="65"/>
    </row>
    <row r="279" ht="14.25" customHeight="1">
      <c r="B279" s="148"/>
      <c r="C279" s="183"/>
      <c r="D279" s="91" t="s">
        <v>910</v>
      </c>
      <c r="E279" s="77"/>
      <c r="L279" s="61"/>
      <c r="M279" s="62"/>
      <c r="N279" s="64"/>
      <c r="O279" s="62"/>
      <c r="P279" s="63"/>
      <c r="Q279" s="62"/>
      <c r="R279" s="63"/>
      <c r="S279" s="64">
        <v>9.0</v>
      </c>
      <c r="T279" s="64">
        <v>33.0</v>
      </c>
      <c r="U279" s="68">
        <v>72.0</v>
      </c>
      <c r="V279" s="64">
        <v>24.0</v>
      </c>
      <c r="W279" s="68">
        <f t="shared" si="25"/>
        <v>138</v>
      </c>
      <c r="X279" s="117"/>
      <c r="Y279" s="173"/>
      <c r="Z279" s="65"/>
    </row>
    <row r="280" ht="14.25" customHeight="1">
      <c r="B280" s="148"/>
      <c r="C280" s="183"/>
      <c r="D280" s="91" t="s">
        <v>913</v>
      </c>
      <c r="E280" s="233"/>
      <c r="L280" s="61"/>
      <c r="M280" s="62"/>
      <c r="N280" s="64"/>
      <c r="O280" s="62"/>
      <c r="P280" s="63"/>
      <c r="Q280" s="62"/>
      <c r="R280" s="63"/>
      <c r="S280" s="64">
        <v>1.0</v>
      </c>
      <c r="T280" s="64">
        <v>92.0</v>
      </c>
      <c r="U280" s="68">
        <v>100.0</v>
      </c>
      <c r="V280" s="64">
        <v>32.0</v>
      </c>
      <c r="W280" s="68">
        <f t="shared" si="25"/>
        <v>225</v>
      </c>
      <c r="X280" s="117"/>
      <c r="Y280" s="173"/>
      <c r="Z280" s="65"/>
    </row>
    <row r="281" ht="14.25" customHeight="1">
      <c r="B281" s="148"/>
      <c r="C281" s="183"/>
      <c r="D281" s="70" t="s">
        <v>961</v>
      </c>
      <c r="E281" s="77"/>
      <c r="L281" s="61"/>
      <c r="M281" s="62"/>
      <c r="N281" s="64"/>
      <c r="O281" s="62"/>
      <c r="P281" s="63"/>
      <c r="Q281" s="62"/>
      <c r="R281" s="63"/>
      <c r="S281" s="64">
        <v>0.0</v>
      </c>
      <c r="T281" s="64">
        <v>0.0</v>
      </c>
      <c r="U281" s="68">
        <v>0.0</v>
      </c>
      <c r="V281" s="64">
        <v>0.0</v>
      </c>
      <c r="W281" s="68">
        <f t="shared" si="25"/>
        <v>0</v>
      </c>
      <c r="X281" s="117"/>
      <c r="Y281" s="173"/>
      <c r="Z281" s="65"/>
    </row>
    <row r="282" ht="14.25" customHeight="1">
      <c r="B282" s="148"/>
      <c r="C282" s="183"/>
      <c r="D282" s="70" t="s">
        <v>963</v>
      </c>
      <c r="E282" s="233"/>
      <c r="L282" s="61"/>
      <c r="M282" s="62"/>
      <c r="N282" s="64"/>
      <c r="O282" s="62"/>
      <c r="P282" s="63"/>
      <c r="Q282" s="62"/>
      <c r="R282" s="63"/>
      <c r="S282" s="64">
        <v>38.0</v>
      </c>
      <c r="T282" s="64">
        <v>332.0</v>
      </c>
      <c r="U282" s="68">
        <v>519.0</v>
      </c>
      <c r="V282" s="64">
        <v>263.0</v>
      </c>
      <c r="W282" s="68">
        <f t="shared" si="25"/>
        <v>1152</v>
      </c>
      <c r="X282" s="117"/>
      <c r="Y282" s="173"/>
      <c r="Z282" s="65"/>
    </row>
    <row r="283" ht="14.25" customHeight="1">
      <c r="B283" s="148"/>
      <c r="C283" s="183"/>
      <c r="D283" s="154"/>
      <c r="E283" s="118" t="s">
        <v>1033</v>
      </c>
      <c r="L283" s="61"/>
      <c r="M283" s="62"/>
      <c r="N283" s="64"/>
      <c r="O283" s="62"/>
      <c r="P283" s="63"/>
      <c r="Q283" s="62"/>
      <c r="R283" s="63"/>
      <c r="S283" s="64">
        <v>6.0</v>
      </c>
      <c r="T283" s="64">
        <v>73.0</v>
      </c>
      <c r="U283" s="68">
        <v>17.0</v>
      </c>
      <c r="V283" s="64">
        <v>73.0</v>
      </c>
      <c r="W283" s="68">
        <f t="shared" si="25"/>
        <v>169</v>
      </c>
      <c r="X283" s="117"/>
      <c r="Y283" s="173"/>
      <c r="Z283" s="65"/>
    </row>
    <row r="284" ht="14.25" customHeight="1">
      <c r="B284" s="148"/>
      <c r="C284" s="183"/>
      <c r="D284" s="154"/>
      <c r="E284" s="118" t="s">
        <v>1034</v>
      </c>
      <c r="L284" s="61"/>
      <c r="M284" s="62"/>
      <c r="N284" s="64"/>
      <c r="O284" s="62"/>
      <c r="P284" s="63"/>
      <c r="Q284" s="62"/>
      <c r="R284" s="63"/>
      <c r="S284" s="64">
        <v>32.0</v>
      </c>
      <c r="T284" s="64">
        <v>259.0</v>
      </c>
      <c r="U284" s="68">
        <v>502.0</v>
      </c>
      <c r="V284" s="64">
        <v>190.0</v>
      </c>
      <c r="W284" s="68">
        <f t="shared" si="25"/>
        <v>983</v>
      </c>
      <c r="X284" s="117"/>
      <c r="Y284" s="173"/>
      <c r="Z284" s="65"/>
    </row>
    <row r="285" ht="14.25" customHeight="1">
      <c r="B285" s="148"/>
      <c r="C285" s="183"/>
      <c r="D285" s="70"/>
      <c r="L285" s="61"/>
      <c r="M285" s="62"/>
      <c r="N285" s="63"/>
      <c r="O285" s="62"/>
      <c r="P285" s="63"/>
      <c r="Q285" s="62"/>
      <c r="R285" s="63"/>
      <c r="S285" s="63"/>
      <c r="T285" s="64"/>
      <c r="U285" s="68"/>
      <c r="V285" s="64"/>
      <c r="W285" s="68">
        <f t="shared" si="25"/>
        <v>0</v>
      </c>
      <c r="X285" s="117"/>
      <c r="Y285" s="173"/>
      <c r="Z285" s="65"/>
    </row>
    <row r="286" ht="14.25" customHeight="1">
      <c r="B286" s="148"/>
      <c r="C286" s="183"/>
      <c r="D286" s="144" t="s">
        <v>1036</v>
      </c>
      <c r="L286" s="61"/>
      <c r="M286" s="62"/>
      <c r="N286" s="63"/>
      <c r="O286" s="62"/>
      <c r="P286" s="63"/>
      <c r="Q286" s="62"/>
      <c r="R286" s="63"/>
      <c r="S286" s="63"/>
      <c r="T286" s="64"/>
      <c r="U286" s="68"/>
      <c r="V286" s="64"/>
      <c r="W286" s="68">
        <f t="shared" si="25"/>
        <v>0</v>
      </c>
      <c r="X286" s="117"/>
      <c r="Y286" s="173"/>
      <c r="Z286" s="65"/>
    </row>
    <row r="287" ht="14.25" customHeight="1">
      <c r="B287" s="148"/>
      <c r="C287" s="183"/>
      <c r="D287" s="70" t="s">
        <v>915</v>
      </c>
      <c r="L287" s="61"/>
      <c r="M287" s="62"/>
      <c r="N287" s="64"/>
      <c r="O287" s="62"/>
      <c r="P287" s="63"/>
      <c r="Q287" s="62"/>
      <c r="R287" s="63"/>
      <c r="S287" s="64">
        <v>0.0</v>
      </c>
      <c r="T287" s="64">
        <v>0.0</v>
      </c>
      <c r="U287" s="68">
        <v>0.0</v>
      </c>
      <c r="V287" s="64">
        <v>0.0</v>
      </c>
      <c r="W287" s="68">
        <f t="shared" si="25"/>
        <v>0</v>
      </c>
      <c r="X287" s="117"/>
      <c r="Y287" s="173"/>
      <c r="Z287" s="65"/>
    </row>
    <row r="288" ht="14.25" customHeight="1">
      <c r="B288" s="148"/>
      <c r="C288" s="183"/>
      <c r="D288" s="70" t="s">
        <v>908</v>
      </c>
      <c r="L288" s="61"/>
      <c r="M288" s="62"/>
      <c r="N288" s="64"/>
      <c r="O288" s="62"/>
      <c r="P288" s="63"/>
      <c r="Q288" s="62"/>
      <c r="R288" s="63"/>
      <c r="S288" s="64">
        <v>0.0</v>
      </c>
      <c r="T288" s="64">
        <v>1.0</v>
      </c>
      <c r="U288" s="68">
        <v>90.0</v>
      </c>
      <c r="V288" s="64">
        <v>90.0</v>
      </c>
      <c r="W288" s="68">
        <f t="shared" si="25"/>
        <v>181</v>
      </c>
      <c r="X288" s="117"/>
      <c r="Y288" s="173"/>
      <c r="Z288" s="65"/>
    </row>
    <row r="289" ht="14.25" customHeight="1">
      <c r="B289" s="148"/>
      <c r="C289" s="183"/>
      <c r="D289" s="70" t="s">
        <v>909</v>
      </c>
      <c r="L289" s="61"/>
      <c r="M289" s="62"/>
      <c r="N289" s="64"/>
      <c r="O289" s="62"/>
      <c r="P289" s="63"/>
      <c r="Q289" s="62"/>
      <c r="R289" s="63"/>
      <c r="S289" s="64">
        <v>0.0</v>
      </c>
      <c r="T289" s="64">
        <v>0.0</v>
      </c>
      <c r="U289" s="68">
        <v>0.0</v>
      </c>
      <c r="V289" s="64">
        <v>0.0</v>
      </c>
      <c r="W289" s="68">
        <f t="shared" si="25"/>
        <v>0</v>
      </c>
      <c r="X289" s="117"/>
      <c r="Y289" s="173"/>
      <c r="Z289" s="65"/>
    </row>
    <row r="290" ht="14.25" customHeight="1">
      <c r="B290" s="148"/>
      <c r="C290" s="183"/>
      <c r="D290" s="70" t="s">
        <v>910</v>
      </c>
      <c r="L290" s="61"/>
      <c r="M290" s="62"/>
      <c r="N290" s="64"/>
      <c r="O290" s="62"/>
      <c r="P290" s="63"/>
      <c r="Q290" s="62"/>
      <c r="R290" s="63"/>
      <c r="S290" s="64">
        <v>0.0</v>
      </c>
      <c r="T290" s="64">
        <v>0.0</v>
      </c>
      <c r="U290" s="68">
        <v>0.0</v>
      </c>
      <c r="V290" s="64">
        <v>0.0</v>
      </c>
      <c r="W290" s="68">
        <f t="shared" si="25"/>
        <v>0</v>
      </c>
      <c r="X290" s="117"/>
      <c r="Y290" s="173"/>
      <c r="Z290" s="65"/>
    </row>
    <row r="291" ht="14.25" customHeight="1">
      <c r="B291" s="148"/>
      <c r="C291" s="183"/>
      <c r="D291" s="91" t="s">
        <v>913</v>
      </c>
      <c r="L291" s="61"/>
      <c r="M291" s="62"/>
      <c r="N291" s="64"/>
      <c r="O291" s="62"/>
      <c r="P291" s="63"/>
      <c r="Q291" s="62"/>
      <c r="R291" s="63"/>
      <c r="S291" s="64">
        <v>0.0</v>
      </c>
      <c r="T291" s="64">
        <v>0.0</v>
      </c>
      <c r="U291" s="68">
        <v>0.0</v>
      </c>
      <c r="V291" s="64">
        <v>0.0</v>
      </c>
      <c r="W291" s="68">
        <f t="shared" si="25"/>
        <v>0</v>
      </c>
      <c r="X291" s="117"/>
      <c r="Y291" s="173"/>
      <c r="Z291" s="65"/>
    </row>
    <row r="292" ht="14.25" customHeight="1">
      <c r="B292" s="148"/>
      <c r="C292" s="183"/>
      <c r="D292" s="91" t="s">
        <v>961</v>
      </c>
      <c r="L292" s="61"/>
      <c r="M292" s="62"/>
      <c r="N292" s="64"/>
      <c r="O292" s="62"/>
      <c r="P292" s="63"/>
      <c r="Q292" s="62"/>
      <c r="R292" s="63"/>
      <c r="S292" s="64">
        <v>0.0</v>
      </c>
      <c r="T292" s="64">
        <v>0.0</v>
      </c>
      <c r="U292" s="68">
        <v>0.0</v>
      </c>
      <c r="V292" s="64">
        <v>0.0</v>
      </c>
      <c r="W292" s="68">
        <f t="shared" si="25"/>
        <v>0</v>
      </c>
      <c r="X292" s="117"/>
      <c r="Y292" s="173"/>
      <c r="Z292" s="65"/>
    </row>
    <row r="293" ht="14.25" customHeight="1">
      <c r="B293" s="148"/>
      <c r="C293" s="183"/>
      <c r="D293" s="91" t="s">
        <v>963</v>
      </c>
      <c r="L293" s="61"/>
      <c r="M293" s="62"/>
      <c r="N293" s="64"/>
      <c r="O293" s="62"/>
      <c r="P293" s="63"/>
      <c r="Q293" s="62"/>
      <c r="R293" s="63"/>
      <c r="S293" s="64">
        <v>0.0</v>
      </c>
      <c r="T293" s="64">
        <v>0.0</v>
      </c>
      <c r="U293" s="68">
        <v>2.0</v>
      </c>
      <c r="V293" s="64">
        <v>1.0</v>
      </c>
      <c r="W293" s="68">
        <f t="shared" si="25"/>
        <v>3</v>
      </c>
      <c r="X293" s="117"/>
      <c r="Y293" s="173"/>
      <c r="Z293" s="65"/>
    </row>
    <row r="294" ht="14.25" customHeight="1">
      <c r="B294" s="148"/>
      <c r="C294" s="183"/>
      <c r="D294" s="70"/>
      <c r="E294" s="118" t="s">
        <v>1034</v>
      </c>
      <c r="L294" s="61"/>
      <c r="M294" s="62"/>
      <c r="N294" s="63"/>
      <c r="O294" s="62"/>
      <c r="P294" s="63"/>
      <c r="Q294" s="62"/>
      <c r="R294" s="63"/>
      <c r="S294" s="64">
        <v>0.0</v>
      </c>
      <c r="T294" s="64">
        <v>0.0</v>
      </c>
      <c r="U294" s="68">
        <v>0.0</v>
      </c>
      <c r="V294" s="64">
        <v>1.0</v>
      </c>
      <c r="W294" s="68">
        <f t="shared" si="25"/>
        <v>1</v>
      </c>
      <c r="X294" s="117"/>
      <c r="Y294" s="173"/>
      <c r="Z294" s="65"/>
    </row>
    <row r="295" ht="14.25" customHeight="1">
      <c r="B295" s="148"/>
      <c r="C295" s="183"/>
      <c r="D295" s="70"/>
      <c r="E295" s="77"/>
      <c r="L295" s="61"/>
      <c r="M295" s="62"/>
      <c r="N295" s="63"/>
      <c r="O295" s="62"/>
      <c r="P295" s="63"/>
      <c r="Q295" s="62"/>
      <c r="R295" s="63"/>
      <c r="S295" s="63"/>
      <c r="T295" s="64"/>
      <c r="U295" s="68"/>
      <c r="V295" s="64"/>
      <c r="W295" s="68"/>
      <c r="X295" s="117"/>
      <c r="Y295" s="173"/>
      <c r="Z295" s="65"/>
    </row>
    <row r="296" ht="14.25" customHeight="1">
      <c r="B296" s="148"/>
      <c r="C296" s="183"/>
      <c r="D296" s="77"/>
      <c r="E296" s="77"/>
      <c r="L296" s="61"/>
      <c r="M296" s="62"/>
      <c r="N296" s="63"/>
      <c r="O296" s="62"/>
      <c r="P296" s="63"/>
      <c r="Q296" s="62"/>
      <c r="R296" s="63"/>
      <c r="S296" s="63"/>
      <c r="T296" s="64"/>
      <c r="U296" s="68"/>
      <c r="V296" s="64"/>
      <c r="W296" s="68"/>
      <c r="X296" s="117"/>
      <c r="Y296" s="173"/>
      <c r="Z296" s="65"/>
    </row>
    <row r="297" ht="14.25" customHeight="1">
      <c r="B297" s="148"/>
      <c r="C297" s="183"/>
      <c r="D297" s="154" t="s">
        <v>1030</v>
      </c>
      <c r="E297" s="233"/>
      <c r="L297" s="61"/>
      <c r="M297" s="62"/>
      <c r="N297" s="63"/>
      <c r="O297" s="62"/>
      <c r="P297" s="63"/>
      <c r="Q297" s="62"/>
      <c r="R297" s="63"/>
      <c r="S297" s="63"/>
      <c r="T297" s="64"/>
      <c r="U297" s="68"/>
      <c r="V297" s="64"/>
      <c r="W297" s="68">
        <f t="shared" ref="W297:W306" si="26">SUM(S297:V297)</f>
        <v>0</v>
      </c>
      <c r="X297" s="117"/>
      <c r="Y297" s="173"/>
      <c r="Z297" s="65"/>
    </row>
    <row r="298" ht="14.25" customHeight="1">
      <c r="B298" s="148"/>
      <c r="C298" s="183"/>
      <c r="D298" s="70" t="s">
        <v>915</v>
      </c>
      <c r="E298" s="77"/>
      <c r="L298" s="61"/>
      <c r="M298" s="62"/>
      <c r="N298" s="64"/>
      <c r="O298" s="62"/>
      <c r="P298" s="63"/>
      <c r="Q298" s="62"/>
      <c r="R298" s="63"/>
      <c r="S298" s="64">
        <v>0.0</v>
      </c>
      <c r="T298" s="64">
        <v>0.0</v>
      </c>
      <c r="U298" s="68">
        <v>0.0</v>
      </c>
      <c r="V298" s="64">
        <v>0.0</v>
      </c>
      <c r="W298" s="68">
        <f t="shared" si="26"/>
        <v>0</v>
      </c>
      <c r="X298" s="117"/>
      <c r="Y298" s="173"/>
      <c r="Z298" s="65"/>
    </row>
    <row r="299" ht="14.25" customHeight="1">
      <c r="B299" s="148"/>
      <c r="C299" s="183"/>
      <c r="D299" s="70" t="s">
        <v>908</v>
      </c>
      <c r="E299" s="233"/>
      <c r="L299" s="61"/>
      <c r="M299" s="62"/>
      <c r="N299" s="64"/>
      <c r="O299" s="62"/>
      <c r="P299" s="63"/>
      <c r="Q299" s="62"/>
      <c r="R299" s="63"/>
      <c r="S299" s="64">
        <v>83.0</v>
      </c>
      <c r="T299" s="64">
        <v>327.0</v>
      </c>
      <c r="U299" s="68">
        <v>611.0</v>
      </c>
      <c r="V299" s="64">
        <v>420.0</v>
      </c>
      <c r="W299" s="68">
        <f t="shared" si="26"/>
        <v>1441</v>
      </c>
      <c r="X299" s="117"/>
      <c r="Y299" s="173"/>
      <c r="Z299" s="65"/>
    </row>
    <row r="300" ht="14.25" customHeight="1">
      <c r="B300" s="148"/>
      <c r="C300" s="183"/>
      <c r="D300" s="91" t="s">
        <v>909</v>
      </c>
      <c r="L300" s="61"/>
      <c r="M300" s="62"/>
      <c r="N300" s="64"/>
      <c r="O300" s="62"/>
      <c r="P300" s="63"/>
      <c r="Q300" s="62"/>
      <c r="R300" s="63"/>
      <c r="S300" s="64">
        <v>30.0</v>
      </c>
      <c r="T300" s="64">
        <v>79.0</v>
      </c>
      <c r="U300" s="68">
        <v>121.0</v>
      </c>
      <c r="V300" s="64">
        <v>101.0</v>
      </c>
      <c r="W300" s="68">
        <f t="shared" si="26"/>
        <v>331</v>
      </c>
      <c r="X300" s="117"/>
      <c r="Y300" s="173"/>
      <c r="Z300" s="65"/>
    </row>
    <row r="301" ht="14.25" customHeight="1">
      <c r="B301" s="148"/>
      <c r="C301" s="183"/>
      <c r="D301" s="91" t="s">
        <v>910</v>
      </c>
      <c r="L301" s="61"/>
      <c r="M301" s="62"/>
      <c r="N301" s="64"/>
      <c r="O301" s="62"/>
      <c r="P301" s="63"/>
      <c r="Q301" s="62"/>
      <c r="R301" s="63"/>
      <c r="S301" s="64">
        <v>1.0</v>
      </c>
      <c r="T301" s="64">
        <v>9.0</v>
      </c>
      <c r="U301" s="68">
        <v>13.0</v>
      </c>
      <c r="V301" s="64">
        <v>4.0</v>
      </c>
      <c r="W301" s="68">
        <f t="shared" si="26"/>
        <v>27</v>
      </c>
      <c r="X301" s="117"/>
      <c r="Y301" s="173"/>
      <c r="Z301" s="65"/>
    </row>
    <row r="302" ht="14.25" customHeight="1">
      <c r="B302" s="148"/>
      <c r="C302" s="183"/>
      <c r="D302" s="91" t="s">
        <v>913</v>
      </c>
      <c r="L302" s="61"/>
      <c r="M302" s="62"/>
      <c r="N302" s="64"/>
      <c r="O302" s="62"/>
      <c r="P302" s="63"/>
      <c r="Q302" s="62"/>
      <c r="R302" s="63"/>
      <c r="S302" s="64">
        <v>0.0</v>
      </c>
      <c r="T302" s="64">
        <v>21.0</v>
      </c>
      <c r="U302" s="68">
        <v>18.0</v>
      </c>
      <c r="V302" s="64">
        <v>9.0</v>
      </c>
      <c r="W302" s="68">
        <f t="shared" si="26"/>
        <v>48</v>
      </c>
      <c r="X302" s="117"/>
      <c r="Y302" s="173"/>
      <c r="Z302" s="65"/>
    </row>
    <row r="303" ht="14.25" customHeight="1">
      <c r="B303" s="148"/>
      <c r="C303" s="183"/>
      <c r="D303" s="91" t="s">
        <v>961</v>
      </c>
      <c r="L303" s="61"/>
      <c r="M303" s="62"/>
      <c r="N303" s="64"/>
      <c r="O303" s="62"/>
      <c r="P303" s="63"/>
      <c r="Q303" s="62"/>
      <c r="R303" s="63"/>
      <c r="S303" s="64">
        <v>0.0</v>
      </c>
      <c r="T303" s="64">
        <v>0.0</v>
      </c>
      <c r="U303" s="68">
        <v>0.0</v>
      </c>
      <c r="V303" s="64">
        <v>0.0</v>
      </c>
      <c r="W303" s="68">
        <f t="shared" si="26"/>
        <v>0</v>
      </c>
      <c r="X303" s="117"/>
      <c r="Y303" s="173"/>
      <c r="Z303" s="65"/>
    </row>
    <row r="304" ht="14.25" customHeight="1">
      <c r="B304" s="148"/>
      <c r="C304" s="183"/>
      <c r="D304" s="91" t="s">
        <v>963</v>
      </c>
      <c r="L304" s="61"/>
      <c r="M304" s="62"/>
      <c r="N304" s="64"/>
      <c r="O304" s="62"/>
      <c r="P304" s="63"/>
      <c r="Q304" s="62"/>
      <c r="R304" s="63"/>
      <c r="S304" s="64">
        <v>3.0</v>
      </c>
      <c r="T304" s="64">
        <v>35.0</v>
      </c>
      <c r="U304" s="68">
        <v>77.0</v>
      </c>
      <c r="V304" s="64">
        <v>35.0</v>
      </c>
      <c r="W304" s="68">
        <f t="shared" si="26"/>
        <v>150</v>
      </c>
      <c r="X304" s="117"/>
      <c r="Y304" s="173"/>
      <c r="Z304" s="65"/>
    </row>
    <row r="305" ht="14.25" customHeight="1">
      <c r="B305" s="148"/>
      <c r="C305" s="183"/>
      <c r="D305" s="91" t="s">
        <v>1037</v>
      </c>
      <c r="L305" s="61"/>
      <c r="M305" s="62"/>
      <c r="N305" s="64"/>
      <c r="O305" s="62"/>
      <c r="P305" s="63"/>
      <c r="Q305" s="62"/>
      <c r="R305" s="63"/>
      <c r="S305" s="64">
        <v>3.0</v>
      </c>
      <c r="T305" s="64">
        <v>34.0</v>
      </c>
      <c r="U305" s="68">
        <v>0.0</v>
      </c>
      <c r="V305" s="64">
        <v>27.0</v>
      </c>
      <c r="W305" s="68">
        <f t="shared" si="26"/>
        <v>64</v>
      </c>
      <c r="X305" s="117"/>
      <c r="Y305" s="173"/>
      <c r="Z305" s="65"/>
    </row>
    <row r="306" ht="14.25" customHeight="1">
      <c r="B306" s="148"/>
      <c r="C306" s="183"/>
      <c r="D306" s="70" t="s">
        <v>1038</v>
      </c>
      <c r="L306" s="61"/>
      <c r="M306" s="62"/>
      <c r="N306" s="64"/>
      <c r="O306" s="62"/>
      <c r="P306" s="63"/>
      <c r="Q306" s="62"/>
      <c r="R306" s="63"/>
      <c r="S306" s="64">
        <v>0.0</v>
      </c>
      <c r="T306" s="64">
        <v>1.0</v>
      </c>
      <c r="U306" s="68">
        <v>77.0</v>
      </c>
      <c r="V306" s="64">
        <v>8.0</v>
      </c>
      <c r="W306" s="68">
        <f t="shared" si="26"/>
        <v>86</v>
      </c>
      <c r="X306" s="117"/>
      <c r="Y306" s="173"/>
      <c r="Z306" s="65"/>
    </row>
    <row r="307" ht="14.25" customHeight="1">
      <c r="B307" s="148"/>
      <c r="C307" s="183"/>
      <c r="D307" s="70"/>
      <c r="L307" s="61"/>
      <c r="M307" s="62"/>
      <c r="N307" s="63"/>
      <c r="O307" s="62"/>
      <c r="P307" s="63"/>
      <c r="Q307" s="62"/>
      <c r="R307" s="63"/>
      <c r="S307" s="63"/>
      <c r="T307" s="64"/>
      <c r="U307" s="68"/>
      <c r="V307" s="64"/>
      <c r="W307" s="68"/>
      <c r="X307" s="117"/>
      <c r="Y307" s="173"/>
      <c r="Z307" s="65"/>
    </row>
    <row r="308" ht="14.25" customHeight="1">
      <c r="B308" s="148"/>
      <c r="C308" s="183"/>
      <c r="D308" s="77"/>
      <c r="L308" s="61"/>
      <c r="M308" s="62"/>
      <c r="N308" s="63"/>
      <c r="O308" s="62"/>
      <c r="P308" s="63"/>
      <c r="Q308" s="62"/>
      <c r="R308" s="63"/>
      <c r="S308" s="63"/>
      <c r="T308" s="64"/>
      <c r="U308" s="68"/>
      <c r="V308" s="64"/>
      <c r="W308" s="68"/>
      <c r="X308" s="117"/>
      <c r="Y308" s="173"/>
      <c r="Z308" s="65"/>
    </row>
    <row r="309" ht="14.25" customHeight="1">
      <c r="B309" s="148"/>
      <c r="C309" s="183"/>
      <c r="D309" s="154" t="s">
        <v>1039</v>
      </c>
      <c r="L309" s="61"/>
      <c r="M309" s="62"/>
      <c r="N309" s="63"/>
      <c r="O309" s="62"/>
      <c r="P309" s="63"/>
      <c r="Q309" s="62"/>
      <c r="R309" s="63"/>
      <c r="S309" s="63"/>
      <c r="T309" s="64"/>
      <c r="U309" s="68"/>
      <c r="V309" s="64"/>
      <c r="W309" s="68">
        <f t="shared" ref="W309:W318" si="27">SUM(S309:V309)</f>
        <v>0</v>
      </c>
      <c r="X309" s="117"/>
      <c r="Y309" s="173"/>
      <c r="Z309" s="65"/>
    </row>
    <row r="310" ht="14.25" customHeight="1">
      <c r="B310" s="148"/>
      <c r="C310" s="183"/>
      <c r="D310" s="197" t="s">
        <v>915</v>
      </c>
      <c r="L310" s="61"/>
      <c r="M310" s="62"/>
      <c r="N310" s="64"/>
      <c r="O310" s="62"/>
      <c r="P310" s="63"/>
      <c r="Q310" s="62"/>
      <c r="R310" s="63"/>
      <c r="S310" s="64">
        <v>0.0</v>
      </c>
      <c r="T310" s="64">
        <v>0.0</v>
      </c>
      <c r="U310" s="68">
        <v>0.0</v>
      </c>
      <c r="V310" s="64">
        <v>0.0</v>
      </c>
      <c r="W310" s="68">
        <f t="shared" si="27"/>
        <v>0</v>
      </c>
      <c r="X310" s="117"/>
      <c r="Y310" s="173"/>
      <c r="Z310" s="65"/>
    </row>
    <row r="311" ht="14.25" customHeight="1">
      <c r="B311" s="148"/>
      <c r="C311" s="183"/>
      <c r="D311" s="197" t="s">
        <v>908</v>
      </c>
      <c r="L311" s="61"/>
      <c r="M311" s="62"/>
      <c r="N311" s="64"/>
      <c r="O311" s="62"/>
      <c r="P311" s="63"/>
      <c r="Q311" s="62"/>
      <c r="R311" s="63"/>
      <c r="S311" s="64">
        <v>0.0</v>
      </c>
      <c r="T311" s="64">
        <v>0.0</v>
      </c>
      <c r="U311" s="68">
        <v>0.0</v>
      </c>
      <c r="V311" s="64">
        <v>1.0</v>
      </c>
      <c r="W311" s="68">
        <f t="shared" si="27"/>
        <v>1</v>
      </c>
      <c r="X311" s="117"/>
      <c r="Y311" s="173"/>
      <c r="Z311" s="65"/>
    </row>
    <row r="312" ht="14.25" customHeight="1">
      <c r="B312" s="148"/>
      <c r="C312" s="183"/>
      <c r="D312" s="197" t="s">
        <v>909</v>
      </c>
      <c r="L312" s="61"/>
      <c r="M312" s="62"/>
      <c r="N312" s="64"/>
      <c r="O312" s="62"/>
      <c r="P312" s="63"/>
      <c r="Q312" s="62"/>
      <c r="R312" s="63"/>
      <c r="S312" s="64">
        <v>0.0</v>
      </c>
      <c r="T312" s="64">
        <v>0.0</v>
      </c>
      <c r="U312" s="68">
        <v>0.0</v>
      </c>
      <c r="V312" s="64">
        <v>0.0</v>
      </c>
      <c r="W312" s="68">
        <f t="shared" si="27"/>
        <v>0</v>
      </c>
      <c r="X312" s="117"/>
      <c r="Y312" s="173"/>
      <c r="Z312" s="65"/>
    </row>
    <row r="313" ht="14.25" customHeight="1">
      <c r="B313" s="148"/>
      <c r="C313" s="183"/>
      <c r="D313" s="197" t="s">
        <v>910</v>
      </c>
      <c r="L313" s="61"/>
      <c r="M313" s="62"/>
      <c r="N313" s="64"/>
      <c r="O313" s="62"/>
      <c r="P313" s="63"/>
      <c r="Q313" s="62"/>
      <c r="R313" s="63"/>
      <c r="S313" s="64">
        <v>0.0</v>
      </c>
      <c r="T313" s="64">
        <v>0.0</v>
      </c>
      <c r="U313" s="68">
        <v>0.0</v>
      </c>
      <c r="V313" s="64">
        <v>0.0</v>
      </c>
      <c r="W313" s="68">
        <f t="shared" si="27"/>
        <v>0</v>
      </c>
      <c r="X313" s="117"/>
      <c r="Y313" s="173"/>
      <c r="Z313" s="65"/>
    </row>
    <row r="314" ht="14.25" customHeight="1">
      <c r="B314" s="148"/>
      <c r="C314" s="183"/>
      <c r="D314" s="197" t="s">
        <v>913</v>
      </c>
      <c r="L314" s="61"/>
      <c r="M314" s="62"/>
      <c r="N314" s="64"/>
      <c r="O314" s="62"/>
      <c r="P314" s="63"/>
      <c r="Q314" s="62"/>
      <c r="R314" s="63"/>
      <c r="S314" s="64">
        <v>0.0</v>
      </c>
      <c r="T314" s="64">
        <v>0.0</v>
      </c>
      <c r="U314" s="68">
        <v>0.0</v>
      </c>
      <c r="V314" s="64">
        <v>0.0</v>
      </c>
      <c r="W314" s="68">
        <f t="shared" si="27"/>
        <v>0</v>
      </c>
      <c r="X314" s="117"/>
      <c r="Y314" s="173"/>
      <c r="Z314" s="65"/>
    </row>
    <row r="315" ht="14.25" customHeight="1">
      <c r="B315" s="148"/>
      <c r="C315" s="183"/>
      <c r="D315" s="197" t="s">
        <v>961</v>
      </c>
      <c r="L315" s="61"/>
      <c r="M315" s="62"/>
      <c r="N315" s="64"/>
      <c r="O315" s="62"/>
      <c r="P315" s="63"/>
      <c r="Q315" s="62"/>
      <c r="R315" s="63"/>
      <c r="S315" s="64">
        <v>0.0</v>
      </c>
      <c r="T315" s="64">
        <v>0.0</v>
      </c>
      <c r="U315" s="68">
        <v>0.0</v>
      </c>
      <c r="V315" s="64">
        <v>0.0</v>
      </c>
      <c r="W315" s="68">
        <f t="shared" si="27"/>
        <v>0</v>
      </c>
      <c r="X315" s="117"/>
      <c r="Y315" s="173"/>
      <c r="Z315" s="65"/>
    </row>
    <row r="316" ht="14.25" customHeight="1">
      <c r="B316" s="148"/>
      <c r="C316" s="183"/>
      <c r="D316" s="197" t="s">
        <v>963</v>
      </c>
      <c r="L316" s="61"/>
      <c r="M316" s="62"/>
      <c r="N316" s="64"/>
      <c r="O316" s="62"/>
      <c r="P316" s="63"/>
      <c r="Q316" s="62"/>
      <c r="R316" s="63"/>
      <c r="S316" s="64">
        <v>0.0</v>
      </c>
      <c r="T316" s="64">
        <v>0.0</v>
      </c>
      <c r="U316" s="68">
        <v>0.0</v>
      </c>
      <c r="V316" s="64">
        <v>0.0</v>
      </c>
      <c r="W316" s="68">
        <f t="shared" si="27"/>
        <v>0</v>
      </c>
      <c r="X316" s="117"/>
      <c r="Y316" s="173"/>
      <c r="Z316" s="65"/>
    </row>
    <row r="317" ht="14.25" customHeight="1">
      <c r="B317" s="148"/>
      <c r="C317" s="183"/>
      <c r="D317" s="70"/>
      <c r="E317" s="118" t="s">
        <v>1037</v>
      </c>
      <c r="L317" s="61"/>
      <c r="M317" s="62"/>
      <c r="N317" s="64"/>
      <c r="O317" s="62"/>
      <c r="P317" s="63"/>
      <c r="Q317" s="62"/>
      <c r="R317" s="63"/>
      <c r="S317" s="64">
        <v>0.0</v>
      </c>
      <c r="T317" s="64">
        <v>0.0</v>
      </c>
      <c r="U317" s="68">
        <v>0.0</v>
      </c>
      <c r="V317" s="64">
        <v>0.0</v>
      </c>
      <c r="W317" s="68">
        <f t="shared" si="27"/>
        <v>0</v>
      </c>
      <c r="X317" s="117"/>
      <c r="Y317" s="173"/>
      <c r="Z317" s="65"/>
    </row>
    <row r="318" ht="14.25" customHeight="1">
      <c r="B318" s="148"/>
      <c r="C318" s="183"/>
      <c r="D318" s="70"/>
      <c r="E318" s="77" t="s">
        <v>1038</v>
      </c>
      <c r="L318" s="61"/>
      <c r="M318" s="62"/>
      <c r="N318" s="64"/>
      <c r="O318" s="62"/>
      <c r="P318" s="63"/>
      <c r="Q318" s="62"/>
      <c r="R318" s="63"/>
      <c r="S318" s="64">
        <v>0.0</v>
      </c>
      <c r="T318" s="64">
        <v>0.0</v>
      </c>
      <c r="U318" s="68">
        <v>0.0</v>
      </c>
      <c r="V318" s="64">
        <v>0.0</v>
      </c>
      <c r="W318" s="68">
        <f t="shared" si="27"/>
        <v>0</v>
      </c>
      <c r="X318" s="117"/>
      <c r="Y318" s="173"/>
      <c r="Z318" s="65"/>
    </row>
    <row r="319" ht="14.25" customHeight="1">
      <c r="B319" s="148"/>
      <c r="C319" s="183"/>
      <c r="D319" s="70"/>
      <c r="E319" s="77"/>
      <c r="L319" s="61"/>
      <c r="M319" s="62"/>
      <c r="N319" s="64"/>
      <c r="O319" s="62"/>
      <c r="P319" s="63"/>
      <c r="Q319" s="62"/>
      <c r="R319" s="63"/>
      <c r="S319" s="68"/>
      <c r="T319" s="64"/>
      <c r="U319" s="68"/>
      <c r="V319" s="64"/>
      <c r="W319" s="68"/>
      <c r="X319" s="117"/>
      <c r="Y319" s="173"/>
      <c r="Z319" s="65"/>
    </row>
    <row r="320" ht="14.25" customHeight="1">
      <c r="B320" s="113"/>
      <c r="L320" s="61"/>
      <c r="M320" s="62"/>
      <c r="N320" s="63"/>
      <c r="O320" s="62"/>
      <c r="P320" s="63"/>
      <c r="Q320" s="62"/>
      <c r="R320" s="63"/>
      <c r="S320" s="68"/>
      <c r="T320" s="64"/>
      <c r="U320" s="68"/>
      <c r="V320" s="64"/>
      <c r="W320" s="68"/>
      <c r="X320" s="117"/>
      <c r="Y320" s="173"/>
      <c r="Z320" s="65"/>
    </row>
    <row r="321" ht="14.25" customHeight="1">
      <c r="B321" s="60" t="s">
        <v>1040</v>
      </c>
      <c r="C321" s="144"/>
      <c r="D321" s="183"/>
      <c r="E321" s="77"/>
      <c r="L321" s="61"/>
      <c r="M321" s="62"/>
      <c r="N321" s="63"/>
      <c r="O321" s="62"/>
      <c r="P321" s="63"/>
      <c r="Q321" s="62"/>
      <c r="R321" s="63"/>
      <c r="S321" s="68"/>
      <c r="T321" s="64"/>
      <c r="U321" s="68"/>
      <c r="V321" s="64"/>
      <c r="W321" s="68"/>
      <c r="X321" s="117"/>
      <c r="Y321" s="173"/>
      <c r="Z321" s="65"/>
    </row>
    <row r="322" ht="14.25" customHeight="1">
      <c r="B322" s="60" t="s">
        <v>1041</v>
      </c>
      <c r="L322" s="61"/>
      <c r="M322" s="62"/>
      <c r="N322" s="63"/>
      <c r="O322" s="62"/>
      <c r="P322" s="63"/>
      <c r="Q322" s="62"/>
      <c r="R322" s="63"/>
      <c r="S322" s="68"/>
      <c r="T322" s="64"/>
      <c r="U322" s="68"/>
      <c r="V322" s="64"/>
      <c r="W322" s="68"/>
      <c r="X322" s="117"/>
      <c r="Y322" s="173"/>
      <c r="Z322" s="65"/>
    </row>
    <row r="323" ht="14.25" customHeight="1">
      <c r="B323" s="113"/>
      <c r="E323" s="559"/>
      <c r="L323" s="61"/>
      <c r="M323" s="62"/>
      <c r="N323" s="63"/>
      <c r="O323" s="62"/>
      <c r="P323" s="63"/>
      <c r="Q323" s="62"/>
      <c r="R323" s="63"/>
      <c r="S323" s="68"/>
      <c r="T323" s="64"/>
      <c r="U323" s="68"/>
      <c r="V323" s="64"/>
      <c r="W323" s="68"/>
      <c r="X323" s="117"/>
      <c r="Y323" s="173"/>
      <c r="Z323" s="65"/>
    </row>
    <row r="324" ht="14.25" customHeight="1">
      <c r="B324" s="113"/>
      <c r="D324" s="560" t="s">
        <v>1042</v>
      </c>
      <c r="E324" s="561"/>
      <c r="L324" s="61"/>
      <c r="M324" s="62"/>
      <c r="N324" s="63"/>
      <c r="O324" s="62"/>
      <c r="P324" s="63"/>
      <c r="Q324" s="62"/>
      <c r="R324" s="63"/>
      <c r="S324" s="68"/>
      <c r="T324" s="64"/>
      <c r="U324" s="68"/>
      <c r="V324" s="64"/>
      <c r="W324" s="68"/>
      <c r="X324" s="117"/>
      <c r="Y324" s="173"/>
      <c r="Z324" s="65"/>
    </row>
    <row r="325" ht="15.0" customHeight="1">
      <c r="B325" s="113"/>
      <c r="D325" s="559"/>
      <c r="E325" s="559" t="s">
        <v>1043</v>
      </c>
      <c r="F325" s="562"/>
      <c r="L325" s="61"/>
      <c r="M325" s="62"/>
      <c r="N325" s="64"/>
      <c r="O325" s="68"/>
      <c r="P325" s="64"/>
      <c r="Q325" s="62"/>
      <c r="R325" s="63"/>
      <c r="S325" s="68"/>
      <c r="T325" s="64"/>
      <c r="U325" s="68"/>
      <c r="V325" s="64"/>
      <c r="W325" s="68"/>
      <c r="X325" s="117"/>
      <c r="Y325" s="173"/>
      <c r="Z325" s="65"/>
    </row>
    <row r="326" ht="14.25" customHeight="1">
      <c r="B326" s="113"/>
      <c r="D326" s="563"/>
      <c r="E326" s="564" t="s">
        <v>1044</v>
      </c>
      <c r="L326" s="61"/>
      <c r="M326" s="62"/>
      <c r="N326" s="64"/>
      <c r="O326" s="119">
        <v>161326.0</v>
      </c>
      <c r="P326" s="64" t="s">
        <v>1045</v>
      </c>
      <c r="Q326" s="62"/>
      <c r="R326" s="83">
        <v>141935.0</v>
      </c>
      <c r="S326" s="119">
        <v>167208.0</v>
      </c>
      <c r="T326" s="83">
        <v>167148.0</v>
      </c>
      <c r="U326" s="83">
        <v>32960.0</v>
      </c>
      <c r="V326" s="83">
        <v>150504.0</v>
      </c>
      <c r="W326" s="119">
        <v>150504.0</v>
      </c>
      <c r="X326" s="546">
        <f>R326-W326</f>
        <v>-8569</v>
      </c>
      <c r="Y326" s="173"/>
      <c r="Z326" s="65"/>
    </row>
    <row r="327" ht="14.25" customHeight="1">
      <c r="B327" s="113"/>
      <c r="D327" s="559"/>
      <c r="E327" s="565"/>
      <c r="L327" s="61"/>
      <c r="M327" s="62"/>
      <c r="N327" s="64"/>
      <c r="O327" s="68"/>
      <c r="P327" s="64"/>
      <c r="Q327" s="62"/>
      <c r="R327" s="63"/>
      <c r="S327" s="68"/>
      <c r="T327" s="64"/>
      <c r="U327" s="68"/>
      <c r="V327" s="64"/>
      <c r="W327" s="68"/>
      <c r="X327" s="117"/>
      <c r="Y327" s="173"/>
      <c r="Z327" s="65"/>
    </row>
    <row r="328" ht="14.25" customHeight="1">
      <c r="B328" s="113"/>
      <c r="D328" s="559"/>
      <c r="E328" s="559" t="s">
        <v>1046</v>
      </c>
      <c r="L328" s="61"/>
      <c r="M328" s="62"/>
      <c r="N328" s="64"/>
      <c r="O328" s="68"/>
      <c r="P328" s="64"/>
      <c r="Q328" s="62"/>
      <c r="R328" s="63"/>
      <c r="S328" s="68"/>
      <c r="T328" s="64"/>
      <c r="U328" s="68"/>
      <c r="V328" s="64"/>
      <c r="W328" s="68"/>
      <c r="X328" s="117"/>
      <c r="Y328" s="173"/>
      <c r="Z328" s="65"/>
    </row>
    <row r="329" ht="15.0" customHeight="1">
      <c r="B329" s="113"/>
      <c r="D329" s="559"/>
      <c r="E329" s="566" t="s">
        <v>1047</v>
      </c>
      <c r="F329" s="562"/>
      <c r="L329" s="61"/>
      <c r="M329" s="62"/>
      <c r="N329" s="92"/>
      <c r="O329" s="145"/>
      <c r="P329" s="92"/>
      <c r="Q329" s="567"/>
      <c r="R329" s="241"/>
      <c r="S329" s="145"/>
      <c r="T329" s="92"/>
      <c r="U329" s="145"/>
      <c r="V329" s="92"/>
      <c r="W329" s="68"/>
      <c r="X329" s="117"/>
      <c r="Y329" s="173"/>
      <c r="Z329" s="65"/>
    </row>
    <row r="330" ht="14.25" customHeight="1">
      <c r="B330" s="113"/>
      <c r="D330" s="559"/>
      <c r="E330" s="566" t="s">
        <v>1048</v>
      </c>
      <c r="L330" s="61"/>
      <c r="M330" s="62"/>
      <c r="N330" s="92"/>
      <c r="O330" s="145">
        <v>0.8</v>
      </c>
      <c r="P330" s="92"/>
      <c r="Q330" s="567"/>
      <c r="R330" s="92">
        <v>0.8</v>
      </c>
      <c r="S330" s="145"/>
      <c r="T330" s="92"/>
      <c r="U330" s="145"/>
      <c r="V330" s="92"/>
      <c r="W330" s="68"/>
      <c r="X330" s="117"/>
      <c r="Y330" s="173"/>
      <c r="Z330" s="65"/>
    </row>
    <row r="331" ht="14.25" customHeight="1">
      <c r="B331" s="113"/>
      <c r="D331" s="559"/>
      <c r="E331" s="559" t="s">
        <v>1049</v>
      </c>
      <c r="L331" s="61"/>
      <c r="M331" s="62"/>
      <c r="N331" s="92"/>
      <c r="O331" s="145"/>
      <c r="P331" s="92"/>
      <c r="Q331" s="567"/>
      <c r="R331" s="92"/>
      <c r="S331" s="145"/>
      <c r="T331" s="92"/>
      <c r="U331" s="145"/>
      <c r="V331" s="92"/>
      <c r="W331" s="68"/>
      <c r="X331" s="117"/>
      <c r="Y331" s="173"/>
      <c r="Z331" s="65"/>
    </row>
    <row r="332" ht="14.25" customHeight="1">
      <c r="B332" s="113"/>
      <c r="D332" s="563"/>
      <c r="E332" s="564" t="s">
        <v>1050</v>
      </c>
      <c r="L332" s="61"/>
      <c r="M332" s="62"/>
      <c r="N332" s="92"/>
      <c r="O332" s="145">
        <v>0.8</v>
      </c>
      <c r="P332" s="92"/>
      <c r="Q332" s="567"/>
      <c r="R332" s="92">
        <v>0.8</v>
      </c>
      <c r="S332" s="145">
        <v>1.0</v>
      </c>
      <c r="T332" s="92">
        <v>1.0</v>
      </c>
      <c r="U332" s="145"/>
      <c r="V332" s="92"/>
      <c r="W332" s="68"/>
      <c r="X332" s="117"/>
      <c r="Y332" s="173"/>
      <c r="Z332" s="65"/>
    </row>
    <row r="333" ht="15.0" customHeight="1">
      <c r="B333" s="113"/>
      <c r="D333" s="559"/>
      <c r="E333" s="568"/>
      <c r="F333" s="562"/>
      <c r="L333" s="61"/>
      <c r="M333" s="62"/>
      <c r="N333" s="63"/>
      <c r="O333" s="62"/>
      <c r="P333" s="63"/>
      <c r="Q333" s="62"/>
      <c r="R333" s="63"/>
      <c r="S333" s="68"/>
      <c r="T333" s="64"/>
      <c r="U333" s="68"/>
      <c r="V333" s="64"/>
      <c r="W333" s="68"/>
      <c r="X333" s="117"/>
      <c r="Y333" s="173"/>
      <c r="Z333" s="65"/>
    </row>
    <row r="334" ht="14.25" customHeight="1">
      <c r="B334" s="113"/>
      <c r="D334" s="560" t="s">
        <v>1051</v>
      </c>
      <c r="E334" s="561"/>
      <c r="L334" s="61"/>
      <c r="M334" s="62"/>
      <c r="N334" s="63"/>
      <c r="O334" s="62"/>
      <c r="P334" s="63"/>
      <c r="Q334" s="62"/>
      <c r="R334" s="63"/>
      <c r="S334" s="68"/>
      <c r="T334" s="64"/>
      <c r="U334" s="68"/>
      <c r="V334" s="64"/>
      <c r="W334" s="68"/>
      <c r="X334" s="117"/>
      <c r="Y334" s="173"/>
      <c r="Z334" s="65"/>
    </row>
    <row r="335" ht="14.25" customHeight="1">
      <c r="B335" s="113"/>
      <c r="D335" s="569"/>
      <c r="E335" s="559" t="s">
        <v>1043</v>
      </c>
      <c r="L335" s="61"/>
      <c r="M335" s="62"/>
      <c r="N335" s="64"/>
      <c r="O335" s="68"/>
      <c r="P335" s="64"/>
      <c r="Q335" s="62"/>
      <c r="R335" s="63"/>
      <c r="S335" s="68"/>
      <c r="T335" s="64"/>
      <c r="U335" s="68"/>
      <c r="V335" s="64"/>
      <c r="W335" s="68"/>
      <c r="X335" s="117"/>
      <c r="Y335" s="173"/>
      <c r="Z335" s="65"/>
    </row>
    <row r="336" ht="14.25" customHeight="1">
      <c r="B336" s="113"/>
      <c r="D336" s="563"/>
      <c r="E336" s="564" t="s">
        <v>1052</v>
      </c>
      <c r="L336" s="61"/>
      <c r="M336" s="62"/>
      <c r="N336" s="64">
        <v>18.0</v>
      </c>
      <c r="O336" s="68">
        <v>18.0</v>
      </c>
      <c r="P336" s="64">
        <v>17.0</v>
      </c>
      <c r="Q336" s="62">
        <v>17.0</v>
      </c>
      <c r="R336" s="64">
        <f>SUM(N336:Q336)</f>
        <v>70</v>
      </c>
      <c r="S336" s="68">
        <v>15.0</v>
      </c>
      <c r="T336" s="64">
        <v>25.0</v>
      </c>
      <c r="U336" s="68">
        <v>5.0</v>
      </c>
      <c r="V336" s="64">
        <v>18.0</v>
      </c>
      <c r="W336" s="68">
        <f>SUM(S336:V336)</f>
        <v>63</v>
      </c>
      <c r="X336" s="546">
        <f>R336-W336</f>
        <v>7</v>
      </c>
      <c r="Y336" s="173"/>
      <c r="Z336" s="65"/>
    </row>
    <row r="337" ht="14.25" customHeight="1">
      <c r="B337" s="113"/>
      <c r="D337" s="563"/>
      <c r="E337" s="565"/>
      <c r="L337" s="61"/>
      <c r="M337" s="62"/>
      <c r="N337" s="64"/>
      <c r="O337" s="68"/>
      <c r="P337" s="64"/>
      <c r="Q337" s="62"/>
      <c r="R337" s="64"/>
      <c r="S337" s="68"/>
      <c r="T337" s="64"/>
      <c r="U337" s="68"/>
      <c r="V337" s="64"/>
      <c r="W337" s="68"/>
      <c r="X337" s="117"/>
      <c r="Y337" s="173"/>
      <c r="Z337" s="65"/>
    </row>
    <row r="338" ht="14.25" customHeight="1">
      <c r="B338" s="113"/>
      <c r="D338" s="563"/>
      <c r="E338" s="570" t="s">
        <v>1046</v>
      </c>
      <c r="L338" s="61"/>
      <c r="M338" s="62"/>
      <c r="N338" s="64"/>
      <c r="O338" s="68"/>
      <c r="P338" s="64"/>
      <c r="Q338" s="62"/>
      <c r="R338" s="63"/>
      <c r="S338" s="68"/>
      <c r="T338" s="64"/>
      <c r="U338" s="68"/>
      <c r="V338" s="64"/>
      <c r="W338" s="68"/>
      <c r="X338" s="117"/>
      <c r="Y338" s="173"/>
      <c r="Z338" s="65"/>
    </row>
    <row r="339" ht="14.25" customHeight="1">
      <c r="B339" s="113"/>
      <c r="D339" s="563"/>
      <c r="E339" s="571"/>
      <c r="L339" s="61"/>
      <c r="M339" s="62"/>
      <c r="N339" s="64"/>
      <c r="O339" s="68"/>
      <c r="P339" s="64"/>
      <c r="Q339" s="62"/>
      <c r="R339" s="63"/>
      <c r="S339" s="68"/>
      <c r="T339" s="64"/>
      <c r="U339" s="68"/>
      <c r="V339" s="64"/>
      <c r="W339" s="68"/>
      <c r="X339" s="117"/>
      <c r="Y339" s="173"/>
      <c r="Z339" s="65"/>
    </row>
    <row r="340" ht="14.25" customHeight="1">
      <c r="B340" s="113"/>
      <c r="D340" s="559"/>
      <c r="E340" s="559" t="s">
        <v>1049</v>
      </c>
      <c r="L340" s="61"/>
      <c r="M340" s="62"/>
      <c r="N340" s="64"/>
      <c r="O340" s="68"/>
      <c r="P340" s="64"/>
      <c r="Q340" s="62"/>
      <c r="R340" s="63"/>
      <c r="S340" s="68"/>
      <c r="T340" s="64"/>
      <c r="U340" s="68"/>
      <c r="V340" s="64"/>
      <c r="W340" s="68"/>
      <c r="X340" s="117"/>
      <c r="Y340" s="173"/>
      <c r="Z340" s="65"/>
    </row>
    <row r="341" ht="14.25" customHeight="1">
      <c r="B341" s="113"/>
      <c r="D341" s="569"/>
      <c r="E341" s="564" t="s">
        <v>1053</v>
      </c>
      <c r="L341" s="61"/>
      <c r="M341" s="62"/>
      <c r="N341" s="92">
        <v>1.0</v>
      </c>
      <c r="O341" s="145">
        <v>1.0</v>
      </c>
      <c r="P341" s="92">
        <v>1.0</v>
      </c>
      <c r="Q341" s="567">
        <v>1.0</v>
      </c>
      <c r="R341" s="92">
        <v>1.0</v>
      </c>
      <c r="S341" s="145">
        <v>1.0</v>
      </c>
      <c r="T341" s="92">
        <v>1.0</v>
      </c>
      <c r="U341" s="145">
        <v>1.0</v>
      </c>
      <c r="V341" s="92">
        <v>1.0</v>
      </c>
      <c r="W341" s="92">
        <v>1.0</v>
      </c>
      <c r="X341" s="117"/>
      <c r="Y341" s="173"/>
      <c r="Z341" s="65"/>
    </row>
    <row r="342" ht="14.25" customHeight="1">
      <c r="B342" s="113"/>
      <c r="D342" s="559"/>
      <c r="E342" s="568"/>
      <c r="L342" s="61"/>
      <c r="M342" s="62"/>
      <c r="N342" s="64"/>
      <c r="O342" s="68"/>
      <c r="P342" s="64"/>
      <c r="Q342" s="62"/>
      <c r="R342" s="63"/>
      <c r="S342" s="68"/>
      <c r="T342" s="64"/>
      <c r="U342" s="68"/>
      <c r="V342" s="64"/>
      <c r="W342" s="68"/>
      <c r="X342" s="117"/>
      <c r="Y342" s="173"/>
      <c r="Z342" s="65"/>
    </row>
    <row r="343" ht="14.25" customHeight="1">
      <c r="B343" s="113"/>
      <c r="D343" s="560" t="s">
        <v>1054</v>
      </c>
      <c r="E343" s="561"/>
      <c r="L343" s="61"/>
      <c r="M343" s="62"/>
      <c r="N343" s="64"/>
      <c r="O343" s="68"/>
      <c r="P343" s="64"/>
      <c r="Q343" s="62"/>
      <c r="R343" s="63"/>
      <c r="S343" s="68"/>
      <c r="T343" s="64"/>
      <c r="U343" s="68"/>
      <c r="V343" s="64"/>
      <c r="W343" s="68"/>
      <c r="X343" s="117"/>
      <c r="Y343" s="173"/>
      <c r="Z343" s="65"/>
    </row>
    <row r="344" ht="14.25" customHeight="1">
      <c r="B344" s="113"/>
      <c r="D344" s="572"/>
      <c r="E344" s="573" t="s">
        <v>1043</v>
      </c>
      <c r="L344" s="61"/>
      <c r="M344" s="62"/>
      <c r="N344" s="64"/>
      <c r="O344" s="68"/>
      <c r="P344" s="64"/>
      <c r="Q344" s="68"/>
      <c r="R344" s="63"/>
      <c r="S344" s="68"/>
      <c r="T344" s="64"/>
      <c r="U344" s="68"/>
      <c r="V344" s="64"/>
      <c r="W344" s="68"/>
      <c r="X344" s="117"/>
      <c r="Y344" s="173"/>
      <c r="Z344" s="65"/>
    </row>
    <row r="345" ht="14.25" customHeight="1">
      <c r="B345" s="113"/>
      <c r="D345" s="574"/>
      <c r="E345" s="564" t="s">
        <v>1055</v>
      </c>
      <c r="L345" s="61"/>
      <c r="M345" s="62"/>
      <c r="N345" s="83">
        <v>142009.0</v>
      </c>
      <c r="O345" s="83">
        <v>142009.0</v>
      </c>
      <c r="P345" s="83">
        <v>142009.0</v>
      </c>
      <c r="Q345" s="83">
        <v>142009.0</v>
      </c>
      <c r="R345" s="83">
        <v>142009.0</v>
      </c>
      <c r="S345" s="119">
        <v>142099.0</v>
      </c>
      <c r="T345" s="83">
        <v>137634.0</v>
      </c>
      <c r="U345" s="83">
        <v>186760.0</v>
      </c>
      <c r="V345" s="83">
        <v>161797.0</v>
      </c>
      <c r="W345" s="119">
        <v>186760.0</v>
      </c>
      <c r="X345" s="546">
        <f>R345-W345</f>
        <v>-44751</v>
      </c>
      <c r="Y345" s="173"/>
      <c r="Z345" s="65"/>
    </row>
    <row r="346" ht="14.25" customHeight="1">
      <c r="B346" s="113"/>
      <c r="D346" s="574"/>
      <c r="E346" s="565"/>
      <c r="L346" s="61"/>
      <c r="M346" s="62"/>
      <c r="N346" s="64"/>
      <c r="O346" s="68"/>
      <c r="P346" s="64"/>
      <c r="Q346" s="68"/>
      <c r="R346" s="63"/>
      <c r="S346" s="68"/>
      <c r="T346" s="64"/>
      <c r="U346" s="68"/>
      <c r="V346" s="64"/>
      <c r="W346" s="68"/>
      <c r="X346" s="117"/>
      <c r="Y346" s="173"/>
      <c r="Z346" s="65"/>
    </row>
    <row r="347" ht="14.25" customHeight="1">
      <c r="B347" s="113"/>
      <c r="D347" s="574"/>
      <c r="E347" s="573" t="s">
        <v>1046</v>
      </c>
      <c r="L347" s="61"/>
      <c r="M347" s="62"/>
      <c r="N347" s="92"/>
      <c r="O347" s="145"/>
      <c r="P347" s="92"/>
      <c r="Q347" s="145"/>
      <c r="R347" s="241"/>
      <c r="S347" s="145"/>
      <c r="T347" s="92"/>
      <c r="U347" s="145"/>
      <c r="V347" s="92"/>
      <c r="W347" s="68"/>
      <c r="X347" s="117"/>
      <c r="Y347" s="173"/>
      <c r="Z347" s="65"/>
    </row>
    <row r="348" ht="14.25" customHeight="1">
      <c r="B348" s="113"/>
      <c r="D348" s="575"/>
      <c r="E348" s="576" t="s">
        <v>1056</v>
      </c>
      <c r="L348" s="61"/>
      <c r="M348" s="62"/>
      <c r="N348" s="92"/>
      <c r="O348" s="145"/>
      <c r="P348" s="92"/>
      <c r="Q348" s="145"/>
      <c r="R348" s="241"/>
      <c r="S348" s="145"/>
      <c r="T348" s="92"/>
      <c r="U348" s="145"/>
      <c r="V348" s="92"/>
      <c r="W348" s="68"/>
      <c r="X348" s="117"/>
      <c r="Y348" s="173"/>
      <c r="Z348" s="65"/>
    </row>
    <row r="349" ht="14.25" customHeight="1">
      <c r="B349" s="113"/>
      <c r="D349" s="574"/>
      <c r="E349" s="565"/>
      <c r="L349" s="61"/>
      <c r="M349" s="62"/>
      <c r="N349" s="92"/>
      <c r="O349" s="145"/>
      <c r="P349" s="92"/>
      <c r="Q349" s="145"/>
      <c r="R349" s="241"/>
      <c r="S349" s="145"/>
      <c r="T349" s="92"/>
      <c r="U349" s="145"/>
      <c r="V349" s="92"/>
      <c r="W349" s="68"/>
      <c r="X349" s="117"/>
      <c r="Y349" s="173"/>
      <c r="Z349" s="65"/>
    </row>
    <row r="350" ht="14.25" customHeight="1">
      <c r="B350" s="113"/>
      <c r="D350" s="574"/>
      <c r="E350" s="573" t="s">
        <v>1049</v>
      </c>
      <c r="L350" s="61"/>
      <c r="M350" s="62"/>
      <c r="N350" s="92"/>
      <c r="O350" s="145"/>
      <c r="P350" s="92"/>
      <c r="Q350" s="145"/>
      <c r="R350" s="241"/>
      <c r="S350" s="145"/>
      <c r="T350" s="92"/>
      <c r="U350" s="145"/>
      <c r="V350" s="92"/>
      <c r="W350" s="68"/>
      <c r="X350" s="117"/>
      <c r="Y350" s="173"/>
      <c r="Z350" s="65"/>
    </row>
    <row r="351" ht="14.25" customHeight="1">
      <c r="B351" s="113"/>
      <c r="D351" s="574"/>
      <c r="E351" s="564" t="s">
        <v>1057</v>
      </c>
      <c r="L351" s="61"/>
      <c r="M351" s="62"/>
      <c r="N351" s="92">
        <v>0.85</v>
      </c>
      <c r="O351" s="145">
        <v>0.85</v>
      </c>
      <c r="P351" s="92">
        <v>0.85</v>
      </c>
      <c r="Q351" s="145">
        <v>0.85</v>
      </c>
      <c r="R351" s="92">
        <v>0.85</v>
      </c>
      <c r="S351" s="145">
        <v>0.98</v>
      </c>
      <c r="T351" s="92">
        <v>0.97</v>
      </c>
      <c r="U351" s="145">
        <v>0.97</v>
      </c>
      <c r="V351" s="92">
        <v>0.86</v>
      </c>
      <c r="W351" s="145">
        <f>AVERAGE(S351:V351)</f>
        <v>0.945</v>
      </c>
      <c r="X351" s="117"/>
      <c r="Y351" s="173"/>
      <c r="Z351" s="65"/>
    </row>
    <row r="352" ht="14.25" customHeight="1">
      <c r="B352" s="113"/>
      <c r="D352" s="574"/>
      <c r="E352" s="565"/>
      <c r="L352" s="61"/>
      <c r="M352" s="62"/>
      <c r="N352" s="63"/>
      <c r="O352" s="62"/>
      <c r="P352" s="63"/>
      <c r="Q352" s="62"/>
      <c r="R352" s="63"/>
      <c r="S352" s="68"/>
      <c r="T352" s="64"/>
      <c r="U352" s="68"/>
      <c r="V352" s="64"/>
      <c r="W352" s="68"/>
      <c r="X352" s="117"/>
      <c r="Y352" s="173"/>
      <c r="Z352" s="65"/>
    </row>
    <row r="353" ht="14.25" customHeight="1">
      <c r="B353" s="113"/>
      <c r="D353" s="560" t="s">
        <v>1058</v>
      </c>
      <c r="E353" s="561"/>
      <c r="L353" s="61"/>
      <c r="M353" s="62"/>
      <c r="N353" s="63"/>
      <c r="O353" s="62"/>
      <c r="P353" s="63"/>
      <c r="Q353" s="62"/>
      <c r="R353" s="63"/>
      <c r="S353" s="68"/>
      <c r="T353" s="64"/>
      <c r="U353" s="68"/>
      <c r="V353" s="64"/>
      <c r="W353" s="68"/>
      <c r="X353" s="117"/>
      <c r="Y353" s="173"/>
      <c r="Z353" s="65"/>
    </row>
    <row r="354" ht="14.25" customHeight="1">
      <c r="B354" s="113"/>
      <c r="D354" s="569"/>
      <c r="E354" s="573" t="s">
        <v>1043</v>
      </c>
      <c r="L354" s="61"/>
      <c r="M354" s="62"/>
      <c r="N354" s="63"/>
      <c r="O354" s="62"/>
      <c r="P354" s="63"/>
      <c r="Q354" s="62"/>
      <c r="R354" s="63"/>
      <c r="S354" s="68"/>
      <c r="T354" s="64"/>
      <c r="U354" s="68"/>
      <c r="V354" s="64"/>
      <c r="W354" s="68"/>
      <c r="X354" s="117"/>
      <c r="Y354" s="173"/>
      <c r="Z354" s="65"/>
    </row>
    <row r="355" ht="14.25" customHeight="1">
      <c r="B355" s="113"/>
      <c r="D355" s="563"/>
      <c r="E355" s="577" t="s">
        <v>1059</v>
      </c>
      <c r="L355" s="61"/>
      <c r="M355" s="62"/>
      <c r="N355" s="63"/>
      <c r="O355" s="62"/>
      <c r="P355" s="63"/>
      <c r="Q355" s="62"/>
      <c r="R355" s="63"/>
      <c r="S355" s="68"/>
      <c r="T355" s="64"/>
      <c r="U355" s="68"/>
      <c r="V355" s="64"/>
      <c r="W355" s="68"/>
      <c r="X355" s="117"/>
      <c r="Y355" s="173"/>
      <c r="Z355" s="65"/>
    </row>
    <row r="356" ht="14.25" customHeight="1">
      <c r="B356" s="113"/>
      <c r="D356" s="563"/>
      <c r="E356" s="577" t="s">
        <v>1060</v>
      </c>
      <c r="L356" s="61"/>
      <c r="M356" s="62"/>
      <c r="N356" s="63"/>
      <c r="O356" s="62"/>
      <c r="P356" s="63"/>
      <c r="Q356" s="62"/>
      <c r="R356" s="63"/>
      <c r="S356" s="68"/>
      <c r="T356" s="64"/>
      <c r="U356" s="68"/>
      <c r="V356" s="64"/>
      <c r="W356" s="68"/>
      <c r="X356" s="117"/>
      <c r="Y356" s="173"/>
      <c r="Z356" s="65"/>
    </row>
    <row r="357" ht="14.25" customHeight="1">
      <c r="B357" s="113"/>
      <c r="D357" s="563"/>
      <c r="E357" s="577" t="s">
        <v>1061</v>
      </c>
      <c r="L357" s="61"/>
      <c r="M357" s="62"/>
      <c r="N357" s="63"/>
      <c r="O357" s="62"/>
      <c r="P357" s="63"/>
      <c r="Q357" s="62"/>
      <c r="R357" s="63"/>
      <c r="S357" s="68"/>
      <c r="T357" s="64"/>
      <c r="U357" s="68"/>
      <c r="V357" s="64"/>
      <c r="W357" s="68"/>
      <c r="X357" s="117"/>
      <c r="Y357" s="173"/>
      <c r="Z357" s="65"/>
    </row>
    <row r="358" ht="14.25" customHeight="1">
      <c r="B358" s="113"/>
      <c r="D358" s="563"/>
      <c r="E358" s="577" t="s">
        <v>1062</v>
      </c>
      <c r="L358" s="61"/>
      <c r="M358" s="62"/>
      <c r="N358" s="63"/>
      <c r="O358" s="62"/>
      <c r="P358" s="63"/>
      <c r="Q358" s="62"/>
      <c r="R358" s="63"/>
      <c r="S358" s="68"/>
      <c r="T358" s="64"/>
      <c r="U358" s="68"/>
      <c r="V358" s="64"/>
      <c r="W358" s="68"/>
      <c r="X358" s="117"/>
      <c r="Y358" s="173"/>
      <c r="Z358" s="65"/>
    </row>
    <row r="359" ht="14.25" customHeight="1">
      <c r="B359" s="113"/>
      <c r="D359" s="572"/>
      <c r="E359" s="573" t="s">
        <v>1046</v>
      </c>
      <c r="L359" s="61"/>
      <c r="M359" s="62"/>
      <c r="N359" s="63"/>
      <c r="O359" s="62"/>
      <c r="P359" s="63"/>
      <c r="Q359" s="62"/>
      <c r="R359" s="63"/>
      <c r="S359" s="68"/>
      <c r="T359" s="64"/>
      <c r="U359" s="68"/>
      <c r="V359" s="64"/>
      <c r="W359" s="68"/>
      <c r="X359" s="117"/>
      <c r="Y359" s="173"/>
      <c r="Z359" s="65"/>
    </row>
    <row r="360" ht="14.25" customHeight="1">
      <c r="B360" s="113"/>
      <c r="D360" s="563"/>
      <c r="E360" s="577" t="s">
        <v>1063</v>
      </c>
      <c r="L360" s="61"/>
      <c r="M360" s="62"/>
      <c r="N360" s="63"/>
      <c r="O360" s="62"/>
      <c r="P360" s="63"/>
      <c r="Q360" s="62"/>
      <c r="R360" s="63"/>
      <c r="S360" s="68"/>
      <c r="T360" s="64"/>
      <c r="U360" s="68"/>
      <c r="V360" s="64"/>
      <c r="W360" s="68"/>
      <c r="X360" s="117"/>
      <c r="Y360" s="173"/>
      <c r="Z360" s="65"/>
    </row>
    <row r="361" ht="14.25" customHeight="1">
      <c r="B361" s="113"/>
      <c r="D361" s="563"/>
      <c r="E361" s="577" t="s">
        <v>1064</v>
      </c>
      <c r="L361" s="61"/>
      <c r="M361" s="62"/>
      <c r="N361" s="63"/>
      <c r="O361" s="62"/>
      <c r="P361" s="63"/>
      <c r="Q361" s="62"/>
      <c r="R361" s="63"/>
      <c r="S361" s="68"/>
      <c r="T361" s="64"/>
      <c r="U361" s="68"/>
      <c r="V361" s="64"/>
      <c r="W361" s="68"/>
      <c r="X361" s="117"/>
      <c r="Y361" s="173"/>
      <c r="Z361" s="65"/>
    </row>
    <row r="362" ht="14.25" customHeight="1">
      <c r="B362" s="113"/>
      <c r="D362" s="572"/>
      <c r="E362" s="577" t="s">
        <v>1065</v>
      </c>
      <c r="L362" s="61"/>
      <c r="M362" s="62"/>
      <c r="N362" s="63"/>
      <c r="O362" s="62"/>
      <c r="P362" s="63"/>
      <c r="Q362" s="62"/>
      <c r="R362" s="63"/>
      <c r="S362" s="68"/>
      <c r="T362" s="64"/>
      <c r="U362" s="68"/>
      <c r="V362" s="64"/>
      <c r="W362" s="68"/>
      <c r="X362" s="117"/>
      <c r="Y362" s="173"/>
      <c r="Z362" s="65"/>
    </row>
    <row r="363" ht="14.25" customHeight="1">
      <c r="B363" s="113"/>
      <c r="D363" s="572"/>
      <c r="E363" s="577" t="s">
        <v>1066</v>
      </c>
      <c r="L363" s="61"/>
      <c r="M363" s="62"/>
      <c r="N363" s="63"/>
      <c r="O363" s="62"/>
      <c r="P363" s="63"/>
      <c r="Q363" s="62"/>
      <c r="R363" s="63"/>
      <c r="S363" s="68"/>
      <c r="T363" s="64"/>
      <c r="U363" s="68"/>
      <c r="V363" s="64"/>
      <c r="W363" s="68"/>
      <c r="X363" s="117"/>
      <c r="Y363" s="173"/>
      <c r="Z363" s="65"/>
    </row>
    <row r="364" ht="14.25" customHeight="1">
      <c r="B364" s="113"/>
      <c r="D364" s="572"/>
      <c r="E364" s="578"/>
      <c r="L364" s="61"/>
      <c r="M364" s="62"/>
      <c r="N364" s="63"/>
      <c r="O364" s="62"/>
      <c r="P364" s="63"/>
      <c r="Q364" s="62"/>
      <c r="R364" s="63"/>
      <c r="S364" s="68"/>
      <c r="T364" s="64"/>
      <c r="U364" s="68"/>
      <c r="V364" s="64"/>
      <c r="W364" s="68"/>
      <c r="X364" s="117"/>
      <c r="Y364" s="173"/>
      <c r="Z364" s="65"/>
    </row>
    <row r="365" ht="14.25" customHeight="1">
      <c r="B365" s="113"/>
      <c r="D365" s="572"/>
      <c r="E365" s="573" t="s">
        <v>1049</v>
      </c>
      <c r="L365" s="61"/>
      <c r="M365" s="62"/>
      <c r="N365" s="63"/>
      <c r="O365" s="62"/>
      <c r="P365" s="63"/>
      <c r="Q365" s="62"/>
      <c r="R365" s="63"/>
      <c r="S365" s="68"/>
      <c r="T365" s="64"/>
      <c r="U365" s="68"/>
      <c r="V365" s="64"/>
      <c r="W365" s="68"/>
      <c r="X365" s="117"/>
      <c r="Y365" s="173"/>
      <c r="Z365" s="65"/>
    </row>
    <row r="366" ht="14.25" customHeight="1">
      <c r="B366" s="113"/>
      <c r="D366" s="563"/>
      <c r="E366" s="577" t="s">
        <v>1067</v>
      </c>
      <c r="L366" s="61"/>
      <c r="M366" s="62"/>
      <c r="N366" s="63"/>
      <c r="O366" s="62"/>
      <c r="P366" s="63"/>
      <c r="Q366" s="62"/>
      <c r="R366" s="63"/>
      <c r="S366" s="68"/>
      <c r="T366" s="64"/>
      <c r="U366" s="68"/>
      <c r="V366" s="64"/>
      <c r="W366" s="68"/>
      <c r="X366" s="117"/>
      <c r="Y366" s="173"/>
      <c r="Z366" s="65"/>
    </row>
    <row r="367" ht="14.25" customHeight="1">
      <c r="B367" s="113"/>
      <c r="D367" s="572"/>
      <c r="E367" s="577" t="s">
        <v>1068</v>
      </c>
      <c r="L367" s="61"/>
      <c r="M367" s="62"/>
      <c r="N367" s="63"/>
      <c r="O367" s="62"/>
      <c r="P367" s="63"/>
      <c r="Q367" s="62"/>
      <c r="R367" s="63"/>
      <c r="S367" s="68"/>
      <c r="T367" s="64"/>
      <c r="U367" s="68"/>
      <c r="V367" s="64"/>
      <c r="W367" s="68"/>
      <c r="X367" s="117"/>
      <c r="Y367" s="173"/>
      <c r="Z367" s="65"/>
    </row>
    <row r="368" ht="14.25" customHeight="1">
      <c r="B368" s="113"/>
      <c r="D368" s="572"/>
      <c r="E368" s="577" t="s">
        <v>1069</v>
      </c>
      <c r="L368" s="61"/>
      <c r="M368" s="62"/>
      <c r="N368" s="63"/>
      <c r="O368" s="62"/>
      <c r="P368" s="63"/>
      <c r="Q368" s="62"/>
      <c r="R368" s="63"/>
      <c r="S368" s="68"/>
      <c r="T368" s="64"/>
      <c r="U368" s="68"/>
      <c r="V368" s="64"/>
      <c r="W368" s="68"/>
      <c r="X368" s="117"/>
      <c r="Y368" s="173"/>
      <c r="Z368" s="65"/>
    </row>
    <row r="369" ht="14.25" customHeight="1">
      <c r="B369" s="113"/>
      <c r="D369" s="572"/>
      <c r="E369" s="577" t="s">
        <v>1070</v>
      </c>
      <c r="L369" s="61"/>
      <c r="M369" s="62"/>
      <c r="N369" s="63"/>
      <c r="O369" s="62"/>
      <c r="P369" s="63"/>
      <c r="Q369" s="62"/>
      <c r="R369" s="63"/>
      <c r="S369" s="68"/>
      <c r="T369" s="64"/>
      <c r="U369" s="68"/>
      <c r="V369" s="64"/>
      <c r="W369" s="68"/>
      <c r="X369" s="117"/>
      <c r="Y369" s="173"/>
      <c r="Z369" s="65"/>
    </row>
    <row r="370" ht="14.25" customHeight="1">
      <c r="B370" s="113"/>
      <c r="D370" s="560" t="s">
        <v>1071</v>
      </c>
      <c r="E370" s="561"/>
      <c r="L370" s="61"/>
      <c r="M370" s="62"/>
      <c r="N370" s="63"/>
      <c r="O370" s="62"/>
      <c r="P370" s="63"/>
      <c r="Q370" s="62"/>
      <c r="R370" s="63"/>
      <c r="S370" s="68"/>
      <c r="T370" s="64"/>
      <c r="U370" s="68"/>
      <c r="V370" s="64"/>
      <c r="W370" s="68"/>
      <c r="X370" s="117"/>
      <c r="Y370" s="173"/>
      <c r="Z370" s="65"/>
    </row>
    <row r="371" ht="14.25" customHeight="1">
      <c r="B371" s="113"/>
      <c r="D371" s="574"/>
      <c r="E371" s="573" t="s">
        <v>1043</v>
      </c>
      <c r="L371" s="61"/>
      <c r="M371" s="62"/>
      <c r="N371" s="63"/>
      <c r="O371" s="62"/>
      <c r="P371" s="63"/>
      <c r="Q371" s="62"/>
      <c r="R371" s="63"/>
      <c r="S371" s="68"/>
      <c r="T371" s="64"/>
      <c r="U371" s="68"/>
      <c r="V371" s="64"/>
      <c r="W371" s="68"/>
      <c r="X371" s="117"/>
      <c r="Y371" s="173"/>
      <c r="Z371" s="65"/>
    </row>
    <row r="372" ht="14.25" customHeight="1">
      <c r="B372" s="113"/>
      <c r="D372" s="575"/>
      <c r="E372" s="564" t="s">
        <v>1072</v>
      </c>
      <c r="L372" s="61"/>
      <c r="M372" s="62"/>
      <c r="N372" s="64">
        <v>639.0</v>
      </c>
      <c r="O372" s="68">
        <v>639.0</v>
      </c>
      <c r="P372" s="64">
        <v>639.0</v>
      </c>
      <c r="Q372" s="68">
        <v>639.0</v>
      </c>
      <c r="R372" s="64">
        <f>SUM(N372:Q372)</f>
        <v>2556</v>
      </c>
      <c r="S372" s="119">
        <v>20150.0</v>
      </c>
      <c r="T372" s="64"/>
      <c r="U372" s="119">
        <v>61158.0</v>
      </c>
      <c r="V372" s="64"/>
      <c r="W372" s="119">
        <f>SUM(S372:V372)</f>
        <v>81308</v>
      </c>
      <c r="X372" s="546">
        <f>R372-W372</f>
        <v>-78752</v>
      </c>
      <c r="Y372" s="173"/>
      <c r="Z372" s="65"/>
    </row>
    <row r="373" ht="14.25" customHeight="1">
      <c r="B373" s="113"/>
      <c r="D373" s="575"/>
      <c r="E373" s="565"/>
      <c r="L373" s="61"/>
      <c r="M373" s="62"/>
      <c r="N373" s="64"/>
      <c r="O373" s="68"/>
      <c r="P373" s="64"/>
      <c r="Q373" s="68"/>
      <c r="R373" s="64"/>
      <c r="S373" s="68"/>
      <c r="T373" s="64"/>
      <c r="U373" s="68"/>
      <c r="V373" s="64"/>
      <c r="W373" s="68"/>
      <c r="X373" s="117"/>
      <c r="Y373" s="173"/>
      <c r="Z373" s="65"/>
    </row>
    <row r="374" ht="14.25" customHeight="1">
      <c r="B374" s="113"/>
      <c r="D374" s="574"/>
      <c r="E374" s="573" t="s">
        <v>1046</v>
      </c>
      <c r="L374" s="61"/>
      <c r="M374" s="62"/>
      <c r="N374" s="64"/>
      <c r="O374" s="68"/>
      <c r="P374" s="64"/>
      <c r="Q374" s="68"/>
      <c r="R374" s="64"/>
      <c r="S374" s="68"/>
      <c r="T374" s="64"/>
      <c r="U374" s="68"/>
      <c r="V374" s="64"/>
      <c r="W374" s="68"/>
      <c r="X374" s="117"/>
      <c r="Y374" s="173"/>
      <c r="Z374" s="65"/>
    </row>
    <row r="375" ht="14.25" customHeight="1">
      <c r="B375" s="113"/>
      <c r="D375" s="575"/>
      <c r="E375" s="564" t="s">
        <v>1073</v>
      </c>
      <c r="L375" s="61"/>
      <c r="M375" s="62"/>
      <c r="N375" s="92"/>
      <c r="O375" s="145"/>
      <c r="P375" s="92"/>
      <c r="Q375" s="145"/>
      <c r="R375" s="92"/>
      <c r="S375" s="145">
        <v>0.0</v>
      </c>
      <c r="T375" s="92"/>
      <c r="U375" s="145"/>
      <c r="V375" s="92"/>
      <c r="W375" s="68"/>
      <c r="X375" s="117"/>
      <c r="Y375" s="173"/>
      <c r="Z375" s="65"/>
    </row>
    <row r="376" ht="14.25" customHeight="1">
      <c r="B376" s="113"/>
      <c r="D376" s="574"/>
      <c r="E376" s="565"/>
      <c r="L376" s="61"/>
      <c r="M376" s="62"/>
      <c r="N376" s="92"/>
      <c r="O376" s="145"/>
      <c r="P376" s="92"/>
      <c r="Q376" s="145"/>
      <c r="R376" s="92"/>
      <c r="S376" s="145"/>
      <c r="T376" s="92"/>
      <c r="U376" s="145"/>
      <c r="V376" s="92"/>
      <c r="W376" s="68"/>
      <c r="X376" s="117"/>
      <c r="Y376" s="173"/>
      <c r="Z376" s="65"/>
    </row>
    <row r="377" ht="14.25" customHeight="1">
      <c r="B377" s="113"/>
      <c r="D377" s="574"/>
      <c r="E377" s="573" t="s">
        <v>1049</v>
      </c>
      <c r="L377" s="61"/>
      <c r="M377" s="62"/>
      <c r="N377" s="92"/>
      <c r="O377" s="145"/>
      <c r="P377" s="92"/>
      <c r="Q377" s="145"/>
      <c r="R377" s="92"/>
      <c r="S377" s="145"/>
      <c r="T377" s="92"/>
      <c r="U377" s="145"/>
      <c r="V377" s="92"/>
      <c r="W377" s="68"/>
      <c r="X377" s="117"/>
      <c r="Y377" s="173"/>
      <c r="Z377" s="65"/>
    </row>
    <row r="378" ht="14.25" customHeight="1">
      <c r="B378" s="113"/>
      <c r="D378" s="575"/>
      <c r="E378" s="576" t="s">
        <v>1074</v>
      </c>
      <c r="L378" s="61"/>
      <c r="M378" s="62"/>
      <c r="N378" s="92"/>
      <c r="O378" s="145"/>
      <c r="P378" s="92"/>
      <c r="Q378" s="145"/>
      <c r="R378" s="92"/>
      <c r="S378" s="145"/>
      <c r="T378" s="92"/>
      <c r="U378" s="145"/>
      <c r="V378" s="92"/>
      <c r="W378" s="68"/>
      <c r="X378" s="117"/>
      <c r="Y378" s="173"/>
      <c r="Z378" s="65"/>
    </row>
    <row r="379" ht="14.25" customHeight="1">
      <c r="B379" s="113"/>
      <c r="L379" s="61"/>
      <c r="M379" s="62"/>
      <c r="N379" s="92"/>
      <c r="O379" s="145"/>
      <c r="P379" s="92"/>
      <c r="Q379" s="145"/>
      <c r="R379" s="92"/>
      <c r="S379" s="145"/>
      <c r="T379" s="92"/>
      <c r="U379" s="145"/>
      <c r="V379" s="92"/>
      <c r="W379" s="68"/>
      <c r="X379" s="117"/>
      <c r="Y379" s="173"/>
      <c r="Z379" s="65"/>
    </row>
    <row r="380" ht="14.25" customHeight="1">
      <c r="B380" s="113"/>
      <c r="L380" s="61"/>
      <c r="M380" s="62"/>
      <c r="N380" s="63"/>
      <c r="O380" s="62"/>
      <c r="P380" s="63"/>
      <c r="Q380" s="62"/>
      <c r="R380" s="63"/>
      <c r="S380" s="68"/>
      <c r="T380" s="64"/>
      <c r="U380" s="68"/>
      <c r="V380" s="64"/>
      <c r="W380" s="68"/>
      <c r="X380" s="117"/>
      <c r="Y380" s="173"/>
      <c r="Z380" s="65"/>
    </row>
    <row r="381" ht="14.25" customHeight="1">
      <c r="B381" s="60" t="s">
        <v>1040</v>
      </c>
      <c r="C381" s="579"/>
      <c r="D381" s="579"/>
      <c r="E381" s="579"/>
      <c r="F381" s="579"/>
      <c r="G381" s="579"/>
      <c r="H381" s="579"/>
      <c r="I381" s="579"/>
      <c r="J381" s="579"/>
      <c r="K381" s="579"/>
      <c r="L381" s="580"/>
      <c r="M381" s="581"/>
      <c r="N381" s="63"/>
      <c r="O381" s="62"/>
      <c r="P381" s="63"/>
      <c r="Q381" s="62"/>
      <c r="R381" s="63"/>
      <c r="S381" s="68"/>
      <c r="T381" s="64"/>
      <c r="U381" s="68"/>
      <c r="V381" s="64"/>
      <c r="W381" s="68"/>
      <c r="X381" s="117"/>
      <c r="Y381" s="173"/>
      <c r="Z381" s="65"/>
    </row>
    <row r="382" ht="14.25" customHeight="1">
      <c r="B382" s="60" t="s">
        <v>1075</v>
      </c>
      <c r="C382" s="579"/>
      <c r="D382" s="579"/>
      <c r="E382" s="579"/>
      <c r="F382" s="579"/>
      <c r="G382" s="579"/>
      <c r="H382" s="579"/>
      <c r="I382" s="579"/>
      <c r="J382" s="579"/>
      <c r="K382" s="579"/>
      <c r="L382" s="580"/>
      <c r="M382" s="581"/>
      <c r="N382" s="63"/>
      <c r="O382" s="62"/>
      <c r="P382" s="63"/>
      <c r="Q382" s="62"/>
      <c r="R382" s="63"/>
      <c r="S382" s="68"/>
      <c r="T382" s="64"/>
      <c r="U382" s="68"/>
      <c r="V382" s="64"/>
      <c r="W382" s="68"/>
      <c r="X382" s="117"/>
      <c r="Y382" s="173"/>
      <c r="Z382" s="65"/>
    </row>
    <row r="383" ht="14.25" customHeight="1">
      <c r="B383" s="113"/>
      <c r="L383" s="61"/>
      <c r="M383" s="62"/>
      <c r="N383" s="63"/>
      <c r="O383" s="62"/>
      <c r="P383" s="63"/>
      <c r="Q383" s="62"/>
      <c r="R383" s="63"/>
      <c r="S383" s="68"/>
      <c r="T383" s="64"/>
      <c r="U383" s="68"/>
      <c r="V383" s="64"/>
      <c r="W383" s="68"/>
      <c r="X383" s="117"/>
      <c r="Y383" s="173"/>
      <c r="Z383" s="65"/>
    </row>
    <row r="384" ht="14.25" customHeight="1">
      <c r="B384" s="113"/>
      <c r="D384" s="560" t="s">
        <v>1076</v>
      </c>
      <c r="E384" s="561"/>
      <c r="L384" s="61"/>
      <c r="M384" s="62"/>
      <c r="N384" s="63"/>
      <c r="O384" s="62"/>
      <c r="P384" s="63"/>
      <c r="Q384" s="62"/>
      <c r="R384" s="63"/>
      <c r="S384" s="68"/>
      <c r="T384" s="64"/>
      <c r="U384" s="68"/>
      <c r="V384" s="64"/>
      <c r="W384" s="68"/>
      <c r="X384" s="117"/>
      <c r="Y384" s="173"/>
      <c r="Z384" s="65"/>
    </row>
    <row r="385" ht="14.25" customHeight="1">
      <c r="B385" s="113"/>
      <c r="D385" s="559"/>
      <c r="E385" s="559" t="s">
        <v>1043</v>
      </c>
      <c r="L385" s="61"/>
      <c r="M385" s="62"/>
      <c r="N385" s="64"/>
      <c r="O385" s="68"/>
      <c r="P385" s="64"/>
      <c r="Q385" s="68"/>
      <c r="R385" s="64"/>
      <c r="S385" s="68"/>
      <c r="T385" s="64"/>
      <c r="U385" s="68"/>
      <c r="V385" s="64"/>
      <c r="W385" s="68"/>
      <c r="X385" s="117"/>
      <c r="Y385" s="173"/>
      <c r="Z385" s="65"/>
    </row>
    <row r="386" ht="14.25" customHeight="1">
      <c r="B386" s="113"/>
      <c r="D386" s="559"/>
      <c r="E386" s="576" t="s">
        <v>1077</v>
      </c>
      <c r="L386" s="61"/>
      <c r="M386" s="62"/>
      <c r="N386" s="83">
        <v>253652.0</v>
      </c>
      <c r="O386" s="83">
        <v>253652.0</v>
      </c>
      <c r="P386" s="83">
        <v>253652.0</v>
      </c>
      <c r="Q386" s="83">
        <v>253652.0</v>
      </c>
      <c r="R386" s="83">
        <v>253652.0</v>
      </c>
      <c r="S386" s="119">
        <v>251153.0</v>
      </c>
      <c r="T386" s="83">
        <v>251300.0</v>
      </c>
      <c r="U386" s="119">
        <v>249125.0</v>
      </c>
      <c r="V386" s="83">
        <v>249070.0</v>
      </c>
      <c r="W386" s="83">
        <v>249070.0</v>
      </c>
      <c r="X386" s="546">
        <f>R386-W386</f>
        <v>4582</v>
      </c>
      <c r="Y386" s="173"/>
      <c r="Z386" s="65"/>
    </row>
    <row r="387" ht="14.25" customHeight="1">
      <c r="B387" s="113"/>
      <c r="D387" s="559"/>
      <c r="E387" s="565"/>
      <c r="L387" s="61"/>
      <c r="M387" s="62"/>
      <c r="N387" s="64"/>
      <c r="O387" s="68"/>
      <c r="P387" s="64"/>
      <c r="Q387" s="62"/>
      <c r="R387" s="63"/>
      <c r="S387" s="68"/>
      <c r="T387" s="64"/>
      <c r="U387" s="68"/>
      <c r="V387" s="64"/>
      <c r="W387" s="68"/>
      <c r="X387" s="117"/>
      <c r="Y387" s="173"/>
      <c r="Z387" s="65"/>
    </row>
    <row r="388" ht="14.25" customHeight="1">
      <c r="B388" s="113"/>
      <c r="D388" s="559"/>
      <c r="E388" s="559" t="s">
        <v>1046</v>
      </c>
      <c r="L388" s="61"/>
      <c r="M388" s="62"/>
      <c r="N388" s="64"/>
      <c r="O388" s="68"/>
      <c r="P388" s="64"/>
      <c r="Q388" s="62"/>
      <c r="R388" s="63"/>
      <c r="S388" s="68"/>
      <c r="T388" s="64"/>
      <c r="U388" s="68"/>
      <c r="V388" s="64"/>
      <c r="W388" s="68"/>
      <c r="X388" s="117"/>
      <c r="Y388" s="173"/>
      <c r="Z388" s="65"/>
    </row>
    <row r="389" ht="14.25" customHeight="1">
      <c r="B389" s="113"/>
      <c r="D389" s="559"/>
      <c r="E389" s="576" t="s">
        <v>1078</v>
      </c>
      <c r="L389" s="61"/>
      <c r="M389" s="62"/>
      <c r="N389" s="92">
        <v>1.0</v>
      </c>
      <c r="O389" s="145">
        <v>1.0</v>
      </c>
      <c r="P389" s="92">
        <v>1.0</v>
      </c>
      <c r="Q389" s="567">
        <v>1.0</v>
      </c>
      <c r="R389" s="92">
        <v>1.0</v>
      </c>
      <c r="S389" s="145">
        <v>0.8929</v>
      </c>
      <c r="T389" s="92">
        <v>0.8929</v>
      </c>
      <c r="U389" s="145">
        <v>0.8854</v>
      </c>
      <c r="V389" s="92">
        <v>0.8996</v>
      </c>
      <c r="W389" s="92">
        <v>0.8996</v>
      </c>
      <c r="X389" s="117"/>
      <c r="Y389" s="173"/>
      <c r="Z389" s="65"/>
    </row>
    <row r="390" ht="14.25" customHeight="1">
      <c r="B390" s="113"/>
      <c r="D390" s="559"/>
      <c r="E390" s="565"/>
      <c r="L390" s="61"/>
      <c r="M390" s="62"/>
      <c r="N390" s="92"/>
      <c r="O390" s="145"/>
      <c r="P390" s="92"/>
      <c r="Q390" s="567"/>
      <c r="R390" s="92"/>
      <c r="S390" s="145"/>
      <c r="T390" s="92"/>
      <c r="U390" s="145"/>
      <c r="V390" s="92"/>
      <c r="W390" s="92"/>
      <c r="X390" s="117"/>
      <c r="Y390" s="173"/>
      <c r="Z390" s="65"/>
    </row>
    <row r="391" ht="14.25" customHeight="1">
      <c r="B391" s="113"/>
      <c r="D391" s="559"/>
      <c r="E391" s="559" t="s">
        <v>1049</v>
      </c>
      <c r="L391" s="61"/>
      <c r="M391" s="62"/>
      <c r="N391" s="92"/>
      <c r="O391" s="145"/>
      <c r="P391" s="92"/>
      <c r="Q391" s="567"/>
      <c r="R391" s="92"/>
      <c r="S391" s="145"/>
      <c r="T391" s="92"/>
      <c r="U391" s="145"/>
      <c r="V391" s="92"/>
      <c r="W391" s="92"/>
      <c r="X391" s="117"/>
      <c r="Y391" s="173"/>
      <c r="Z391" s="65"/>
    </row>
    <row r="392" ht="14.25" customHeight="1">
      <c r="B392" s="113"/>
      <c r="D392" s="559"/>
      <c r="E392" s="564" t="s">
        <v>1079</v>
      </c>
      <c r="L392" s="61"/>
      <c r="M392" s="62"/>
      <c r="N392" s="92">
        <v>1.0</v>
      </c>
      <c r="O392" s="145">
        <v>1.0</v>
      </c>
      <c r="P392" s="92">
        <v>1.0</v>
      </c>
      <c r="Q392" s="567">
        <v>1.0</v>
      </c>
      <c r="R392" s="92">
        <v>1.0</v>
      </c>
      <c r="S392" s="145">
        <v>0.978</v>
      </c>
      <c r="T392" s="92">
        <v>0.9693</v>
      </c>
      <c r="U392" s="145">
        <v>0.9643</v>
      </c>
      <c r="V392" s="92">
        <v>0.9843</v>
      </c>
      <c r="W392" s="92">
        <v>0.9843</v>
      </c>
      <c r="X392" s="117"/>
      <c r="Y392" s="173"/>
      <c r="Z392" s="65"/>
    </row>
    <row r="393" ht="14.25" customHeight="1">
      <c r="B393" s="113"/>
      <c r="D393" s="559"/>
      <c r="E393" s="568"/>
      <c r="L393" s="61"/>
      <c r="M393" s="62"/>
      <c r="N393" s="92"/>
      <c r="O393" s="145"/>
      <c r="P393" s="92"/>
      <c r="Q393" s="567"/>
      <c r="R393" s="241"/>
      <c r="S393" s="145"/>
      <c r="T393" s="92"/>
      <c r="U393" s="145"/>
      <c r="V393" s="92"/>
      <c r="W393" s="68"/>
      <c r="X393" s="117"/>
      <c r="Y393" s="173"/>
      <c r="Z393" s="65"/>
    </row>
    <row r="394" ht="14.25" customHeight="1">
      <c r="B394" s="113"/>
      <c r="D394" s="560" t="s">
        <v>1080</v>
      </c>
      <c r="E394" s="561"/>
      <c r="L394" s="61"/>
      <c r="M394" s="62"/>
      <c r="N394" s="92"/>
      <c r="O394" s="145"/>
      <c r="P394" s="92"/>
      <c r="Q394" s="567"/>
      <c r="R394" s="241"/>
      <c r="S394" s="145"/>
      <c r="T394" s="92"/>
      <c r="U394" s="145"/>
      <c r="V394" s="92"/>
      <c r="W394" s="68"/>
      <c r="X394" s="117"/>
      <c r="Y394" s="173"/>
      <c r="Z394" s="65"/>
    </row>
    <row r="395" ht="14.25" customHeight="1">
      <c r="B395" s="113"/>
      <c r="D395" s="559"/>
      <c r="E395" s="559" t="s">
        <v>1043</v>
      </c>
      <c r="L395" s="61"/>
      <c r="M395" s="62"/>
      <c r="N395" s="64"/>
      <c r="O395" s="68"/>
      <c r="P395" s="64"/>
      <c r="Q395" s="62"/>
      <c r="R395" s="63"/>
      <c r="S395" s="68"/>
      <c r="T395" s="64"/>
      <c r="U395" s="68"/>
      <c r="V395" s="64"/>
      <c r="W395" s="68"/>
      <c r="X395" s="117"/>
      <c r="Y395" s="173"/>
      <c r="Z395" s="65"/>
    </row>
    <row r="396" ht="14.25" customHeight="1">
      <c r="B396" s="113"/>
      <c r="D396" s="559"/>
      <c r="E396" s="564" t="s">
        <v>1081</v>
      </c>
      <c r="L396" s="61"/>
      <c r="M396" s="62"/>
      <c r="N396" s="83">
        <v>96092.0</v>
      </c>
      <c r="O396" s="83">
        <v>95559.0</v>
      </c>
      <c r="P396" s="83">
        <v>102405.0</v>
      </c>
      <c r="Q396" s="83">
        <v>102405.0</v>
      </c>
      <c r="R396" s="83">
        <v>102405.0</v>
      </c>
      <c r="S396" s="119">
        <v>90772.0</v>
      </c>
      <c r="T396" s="83">
        <v>89860.0</v>
      </c>
      <c r="U396" s="119">
        <v>114900.0</v>
      </c>
      <c r="V396" s="83">
        <v>156016.0</v>
      </c>
      <c r="W396" s="83">
        <v>156016.0</v>
      </c>
      <c r="X396" s="546">
        <f>R396-W396</f>
        <v>-53611</v>
      </c>
      <c r="Y396" s="173"/>
      <c r="Z396" s="65"/>
    </row>
    <row r="397" ht="14.25" hidden="1" customHeight="1">
      <c r="B397" s="113"/>
      <c r="D397" s="559"/>
      <c r="E397" s="564" t="s">
        <v>1082</v>
      </c>
      <c r="L397" s="61"/>
      <c r="M397" s="62"/>
      <c r="N397" s="64"/>
      <c r="O397" s="68"/>
      <c r="P397" s="64"/>
      <c r="Q397" s="62"/>
      <c r="R397" s="63"/>
      <c r="S397" s="68"/>
      <c r="T397" s="64"/>
      <c r="U397" s="68"/>
      <c r="V397" s="64"/>
      <c r="W397" s="68"/>
      <c r="X397" s="117"/>
      <c r="Y397" s="173"/>
      <c r="Z397" s="65"/>
    </row>
    <row r="398" ht="14.25" hidden="1" customHeight="1">
      <c r="B398" s="113"/>
      <c r="D398" s="559"/>
      <c r="E398" s="564" t="s">
        <v>1083</v>
      </c>
      <c r="L398" s="61"/>
      <c r="M398" s="62"/>
      <c r="N398" s="64"/>
      <c r="O398" s="68"/>
      <c r="P398" s="64"/>
      <c r="Q398" s="62"/>
      <c r="R398" s="63"/>
      <c r="S398" s="68"/>
      <c r="T398" s="64"/>
      <c r="U398" s="68"/>
      <c r="V398" s="64"/>
      <c r="W398" s="68"/>
      <c r="X398" s="117"/>
      <c r="Y398" s="173"/>
      <c r="Z398" s="65"/>
    </row>
    <row r="399" ht="14.25" customHeight="1">
      <c r="B399" s="113"/>
      <c r="D399" s="559"/>
      <c r="E399" s="568"/>
      <c r="L399" s="61"/>
      <c r="M399" s="62"/>
      <c r="N399" s="64"/>
      <c r="O399" s="68"/>
      <c r="P399" s="64"/>
      <c r="Q399" s="62"/>
      <c r="R399" s="63"/>
      <c r="S399" s="68"/>
      <c r="T399" s="64"/>
      <c r="U399" s="68"/>
      <c r="V399" s="64"/>
      <c r="W399" s="68"/>
      <c r="X399" s="117"/>
      <c r="Y399" s="173"/>
      <c r="Z399" s="65"/>
    </row>
    <row r="400" ht="14.25" customHeight="1">
      <c r="B400" s="113"/>
      <c r="D400" s="560" t="s">
        <v>1084</v>
      </c>
      <c r="E400" s="561"/>
      <c r="L400" s="61"/>
      <c r="M400" s="62"/>
      <c r="N400" s="64"/>
      <c r="O400" s="68"/>
      <c r="P400" s="64"/>
      <c r="Q400" s="62"/>
      <c r="R400" s="63"/>
      <c r="S400" s="68"/>
      <c r="T400" s="64"/>
      <c r="U400" s="68"/>
      <c r="V400" s="64"/>
      <c r="W400" s="68"/>
      <c r="X400" s="117"/>
      <c r="Y400" s="173"/>
      <c r="Z400" s="65"/>
    </row>
    <row r="401" ht="14.25" customHeight="1">
      <c r="B401" s="113"/>
      <c r="D401" s="574"/>
      <c r="E401" s="573" t="s">
        <v>1043</v>
      </c>
      <c r="L401" s="61"/>
      <c r="M401" s="62"/>
      <c r="N401" s="64"/>
      <c r="O401" s="68"/>
      <c r="P401" s="64"/>
      <c r="Q401" s="68"/>
      <c r="R401" s="64"/>
      <c r="S401" s="68"/>
      <c r="T401" s="64"/>
      <c r="U401" s="68"/>
      <c r="V401" s="64"/>
      <c r="W401" s="68"/>
      <c r="X401" s="117"/>
      <c r="Y401" s="173"/>
      <c r="Z401" s="65"/>
    </row>
    <row r="402" ht="14.25" customHeight="1">
      <c r="B402" s="113"/>
      <c r="D402" s="574"/>
      <c r="E402" s="564" t="s">
        <v>1085</v>
      </c>
      <c r="L402" s="61"/>
      <c r="M402" s="62"/>
      <c r="N402" s="83">
        <v>19009.0</v>
      </c>
      <c r="O402" s="83">
        <v>19009.0</v>
      </c>
      <c r="P402" s="83">
        <v>19009.0</v>
      </c>
      <c r="Q402" s="83">
        <v>19009.0</v>
      </c>
      <c r="R402" s="83">
        <v>19009.0</v>
      </c>
      <c r="S402" s="119">
        <v>18891.0</v>
      </c>
      <c r="T402" s="83">
        <v>18840.0</v>
      </c>
      <c r="U402" s="119">
        <v>18781.0</v>
      </c>
      <c r="V402" s="83">
        <v>18770.0</v>
      </c>
      <c r="W402" s="83">
        <v>18770.0</v>
      </c>
      <c r="X402" s="546">
        <f>R402-W402</f>
        <v>239</v>
      </c>
      <c r="Y402" s="173"/>
      <c r="Z402" s="65"/>
    </row>
    <row r="403" ht="14.25" customHeight="1">
      <c r="B403" s="113"/>
      <c r="D403" s="574"/>
      <c r="E403" s="565"/>
      <c r="L403" s="61"/>
      <c r="M403" s="62"/>
      <c r="N403" s="64"/>
      <c r="O403" s="68"/>
      <c r="P403" s="64"/>
      <c r="Q403" s="62"/>
      <c r="R403" s="63"/>
      <c r="S403" s="68"/>
      <c r="T403" s="64"/>
      <c r="U403" s="68"/>
      <c r="V403" s="64"/>
      <c r="W403" s="68"/>
      <c r="X403" s="117"/>
      <c r="Y403" s="173"/>
      <c r="Z403" s="65"/>
    </row>
    <row r="404" ht="14.25" customHeight="1">
      <c r="B404" s="113"/>
      <c r="D404" s="574"/>
      <c r="E404" s="573" t="s">
        <v>1046</v>
      </c>
      <c r="L404" s="61"/>
      <c r="M404" s="62"/>
      <c r="N404" s="64"/>
      <c r="O404" s="68"/>
      <c r="P404" s="64"/>
      <c r="Q404" s="62"/>
      <c r="R404" s="63"/>
      <c r="S404" s="68"/>
      <c r="T404" s="64"/>
      <c r="U404" s="68"/>
      <c r="V404" s="64"/>
      <c r="W404" s="68"/>
      <c r="X404" s="117"/>
      <c r="Y404" s="173"/>
      <c r="Z404" s="65"/>
    </row>
    <row r="405" ht="14.25" customHeight="1">
      <c r="B405" s="113"/>
      <c r="D405" s="574"/>
      <c r="E405" s="576" t="s">
        <v>1078</v>
      </c>
      <c r="L405" s="61"/>
      <c r="M405" s="62"/>
      <c r="N405" s="92">
        <v>1.0</v>
      </c>
      <c r="O405" s="145">
        <v>1.0</v>
      </c>
      <c r="P405" s="92">
        <v>1.0</v>
      </c>
      <c r="Q405" s="145">
        <v>1.0</v>
      </c>
      <c r="R405" s="92">
        <v>1.0</v>
      </c>
      <c r="S405" s="145">
        <v>0.9551</v>
      </c>
      <c r="T405" s="92">
        <v>0.9534</v>
      </c>
      <c r="U405" s="145">
        <v>0.9433</v>
      </c>
      <c r="V405" s="92">
        <v>0.9394</v>
      </c>
      <c r="W405" s="92">
        <v>0.9394</v>
      </c>
      <c r="X405" s="117"/>
      <c r="Y405" s="173"/>
      <c r="Z405" s="65"/>
    </row>
    <row r="406" ht="14.25" customHeight="1">
      <c r="B406" s="113"/>
      <c r="D406" s="574"/>
      <c r="E406" s="582"/>
      <c r="L406" s="61"/>
      <c r="M406" s="62"/>
      <c r="N406" s="92"/>
      <c r="O406" s="145"/>
      <c r="P406" s="92"/>
      <c r="Q406" s="145"/>
      <c r="R406" s="241"/>
      <c r="S406" s="145"/>
      <c r="T406" s="92"/>
      <c r="U406" s="145"/>
      <c r="V406" s="92"/>
      <c r="W406" s="92"/>
      <c r="X406" s="117"/>
      <c r="Y406" s="173"/>
      <c r="Z406" s="65"/>
    </row>
    <row r="407" ht="14.25" customHeight="1">
      <c r="B407" s="113"/>
      <c r="D407" s="574"/>
      <c r="E407" s="573" t="s">
        <v>1049</v>
      </c>
      <c r="L407" s="61"/>
      <c r="M407" s="62"/>
      <c r="N407" s="92"/>
      <c r="O407" s="145"/>
      <c r="P407" s="92"/>
      <c r="Q407" s="145"/>
      <c r="R407" s="241"/>
      <c r="S407" s="145"/>
      <c r="T407" s="92"/>
      <c r="U407" s="145"/>
      <c r="V407" s="92"/>
      <c r="W407" s="92"/>
      <c r="X407" s="117"/>
      <c r="Y407" s="173"/>
      <c r="Z407" s="65"/>
    </row>
    <row r="408" ht="14.25" customHeight="1">
      <c r="B408" s="113"/>
      <c r="D408" s="574"/>
      <c r="E408" s="576" t="s">
        <v>1086</v>
      </c>
      <c r="L408" s="61"/>
      <c r="M408" s="62"/>
      <c r="N408" s="92">
        <v>1.0</v>
      </c>
      <c r="O408" s="145">
        <v>1.0</v>
      </c>
      <c r="P408" s="92">
        <v>1.0</v>
      </c>
      <c r="Q408" s="145">
        <v>1.0</v>
      </c>
      <c r="R408" s="92">
        <v>1.0</v>
      </c>
      <c r="S408" s="145">
        <v>0.9782</v>
      </c>
      <c r="T408" s="92">
        <v>0.0</v>
      </c>
      <c r="U408" s="145">
        <v>0.7084</v>
      </c>
      <c r="V408" s="92">
        <v>0.9734</v>
      </c>
      <c r="W408" s="92">
        <v>0.9734</v>
      </c>
      <c r="X408" s="117"/>
      <c r="Y408" s="173"/>
      <c r="Z408" s="65"/>
    </row>
    <row r="409" ht="14.25" customHeight="1">
      <c r="B409" s="113"/>
      <c r="D409" s="574"/>
      <c r="E409" s="565"/>
      <c r="L409" s="61"/>
      <c r="M409" s="62"/>
      <c r="N409" s="92"/>
      <c r="O409" s="145"/>
      <c r="P409" s="92"/>
      <c r="Q409" s="567"/>
      <c r="R409" s="241"/>
      <c r="S409" s="145"/>
      <c r="T409" s="92"/>
      <c r="U409" s="145"/>
      <c r="V409" s="92"/>
      <c r="W409" s="68"/>
      <c r="X409" s="117"/>
      <c r="Y409" s="173"/>
      <c r="Z409" s="65"/>
    </row>
    <row r="410" ht="14.25" customHeight="1">
      <c r="B410" s="113"/>
      <c r="D410" s="560" t="s">
        <v>1087</v>
      </c>
      <c r="E410" s="561"/>
      <c r="L410" s="61"/>
      <c r="M410" s="62"/>
      <c r="N410" s="64"/>
      <c r="O410" s="68"/>
      <c r="P410" s="64"/>
      <c r="Q410" s="62"/>
      <c r="R410" s="63"/>
      <c r="S410" s="68"/>
      <c r="T410" s="64"/>
      <c r="U410" s="68"/>
      <c r="V410" s="64"/>
      <c r="W410" s="68"/>
      <c r="X410" s="117"/>
      <c r="Y410" s="173"/>
      <c r="Z410" s="65"/>
    </row>
    <row r="411" ht="14.25" customHeight="1">
      <c r="B411" s="113"/>
      <c r="D411" s="574"/>
      <c r="E411" s="573" t="s">
        <v>1043</v>
      </c>
      <c r="L411" s="61"/>
      <c r="M411" s="62"/>
      <c r="N411" s="64"/>
      <c r="O411" s="68"/>
      <c r="P411" s="64"/>
      <c r="Q411" s="62"/>
      <c r="R411" s="63"/>
      <c r="S411" s="68"/>
      <c r="T411" s="64"/>
      <c r="U411" s="68"/>
      <c r="V411" s="64"/>
      <c r="W411" s="68"/>
      <c r="X411" s="117"/>
      <c r="Y411" s="173"/>
      <c r="Z411" s="65"/>
    </row>
    <row r="412" ht="14.25" customHeight="1">
      <c r="B412" s="113"/>
      <c r="D412" s="575"/>
      <c r="E412" s="576" t="s">
        <v>1088</v>
      </c>
      <c r="L412" s="61"/>
      <c r="M412" s="62"/>
      <c r="N412" s="229">
        <v>969.0</v>
      </c>
      <c r="O412" s="230">
        <v>2442.0</v>
      </c>
      <c r="P412" s="229">
        <v>3390.0</v>
      </c>
      <c r="Q412" s="230">
        <v>2906.0</v>
      </c>
      <c r="R412" s="229">
        <v>9686.0</v>
      </c>
      <c r="S412" s="119">
        <v>4040.0</v>
      </c>
      <c r="T412" s="83">
        <v>1373.0</v>
      </c>
      <c r="U412" s="119">
        <v>2605.0</v>
      </c>
      <c r="V412" s="64">
        <v>4400.0</v>
      </c>
      <c r="W412" s="119">
        <f t="shared" ref="W412:W413" si="28">SUM(S412:V412)</f>
        <v>12418</v>
      </c>
      <c r="X412" s="546">
        <f t="shared" ref="X412:X413" si="29">R412-W412</f>
        <v>-2732</v>
      </c>
      <c r="Y412" s="173"/>
      <c r="Z412" s="65"/>
    </row>
    <row r="413" ht="14.25" customHeight="1">
      <c r="B413" s="113"/>
      <c r="D413" s="575"/>
      <c r="E413" s="576" t="s">
        <v>1089</v>
      </c>
      <c r="L413" s="61"/>
      <c r="M413" s="62"/>
      <c r="N413" s="229">
        <v>1184.0</v>
      </c>
      <c r="O413" s="230">
        <v>2960.0</v>
      </c>
      <c r="P413" s="229">
        <v>4144.0</v>
      </c>
      <c r="Q413" s="230">
        <v>3552.0</v>
      </c>
      <c r="R413" s="229">
        <v>11840.0</v>
      </c>
      <c r="S413" s="68">
        <v>928.0</v>
      </c>
      <c r="T413" s="64">
        <v>712.0</v>
      </c>
      <c r="U413" s="119">
        <v>836.0</v>
      </c>
      <c r="V413" s="64">
        <v>3311.0</v>
      </c>
      <c r="W413" s="68">
        <f t="shared" si="28"/>
        <v>5787</v>
      </c>
      <c r="X413" s="546">
        <f t="shared" si="29"/>
        <v>6053</v>
      </c>
      <c r="Y413" s="173"/>
      <c r="Z413" s="65"/>
    </row>
    <row r="414" ht="14.25" customHeight="1">
      <c r="B414" s="113"/>
      <c r="D414" s="575"/>
      <c r="E414" s="582"/>
      <c r="L414" s="61"/>
      <c r="M414" s="62"/>
      <c r="N414" s="64"/>
      <c r="O414" s="68"/>
      <c r="P414" s="64"/>
      <c r="Q414" s="62"/>
      <c r="R414" s="63"/>
      <c r="S414" s="68"/>
      <c r="T414" s="64"/>
      <c r="U414" s="68"/>
      <c r="V414" s="64"/>
      <c r="W414" s="68"/>
      <c r="X414" s="117"/>
      <c r="Y414" s="173"/>
      <c r="Z414" s="65"/>
    </row>
    <row r="415" ht="14.25" customHeight="1">
      <c r="B415" s="113"/>
      <c r="D415" s="574"/>
      <c r="E415" s="573" t="s">
        <v>1046</v>
      </c>
      <c r="L415" s="61"/>
      <c r="M415" s="62"/>
      <c r="N415" s="64"/>
      <c r="O415" s="68"/>
      <c r="P415" s="64"/>
      <c r="Q415" s="62"/>
      <c r="R415" s="63"/>
      <c r="S415" s="68"/>
      <c r="T415" s="64"/>
      <c r="U415" s="68"/>
      <c r="V415" s="64"/>
      <c r="W415" s="68"/>
      <c r="X415" s="117"/>
      <c r="Y415" s="173"/>
      <c r="Z415" s="65"/>
    </row>
    <row r="416" ht="14.25" customHeight="1">
      <c r="B416" s="113"/>
      <c r="D416" s="582"/>
      <c r="E416" s="583" t="s">
        <v>1090</v>
      </c>
      <c r="L416" s="61"/>
      <c r="M416" s="62"/>
      <c r="N416" s="92">
        <v>0.0</v>
      </c>
      <c r="O416" s="92">
        <v>0.0</v>
      </c>
      <c r="P416" s="92">
        <v>0.0</v>
      </c>
      <c r="Q416" s="92">
        <v>0.0</v>
      </c>
      <c r="R416" s="92">
        <v>0.0</v>
      </c>
      <c r="S416" s="145">
        <v>0.0</v>
      </c>
      <c r="T416" s="92">
        <v>0.0</v>
      </c>
      <c r="U416" s="145">
        <v>0.0</v>
      </c>
      <c r="V416" s="92">
        <v>0.0</v>
      </c>
      <c r="W416" s="92">
        <v>0.0</v>
      </c>
      <c r="X416" s="117"/>
      <c r="Y416" s="173"/>
      <c r="Z416" s="65"/>
    </row>
    <row r="417" ht="14.25" customHeight="1">
      <c r="B417" s="113"/>
      <c r="D417" s="582"/>
      <c r="E417" s="583" t="s">
        <v>1091</v>
      </c>
      <c r="L417" s="61"/>
      <c r="M417" s="62"/>
      <c r="N417" s="92">
        <v>0.0</v>
      </c>
      <c r="O417" s="92">
        <v>0.0</v>
      </c>
      <c r="P417" s="92">
        <v>0.0</v>
      </c>
      <c r="Q417" s="92">
        <v>0.0</v>
      </c>
      <c r="R417" s="92">
        <v>0.0</v>
      </c>
      <c r="S417" s="145">
        <v>0.0</v>
      </c>
      <c r="T417" s="92">
        <v>0.0</v>
      </c>
      <c r="U417" s="145">
        <v>0.0</v>
      </c>
      <c r="V417" s="92">
        <v>0.0</v>
      </c>
      <c r="W417" s="92">
        <v>0.0</v>
      </c>
      <c r="X417" s="117"/>
      <c r="Y417" s="173"/>
      <c r="Z417" s="65"/>
    </row>
    <row r="418" ht="14.25" customHeight="1">
      <c r="B418" s="113"/>
      <c r="D418" s="574"/>
      <c r="E418" s="576" t="s">
        <v>1092</v>
      </c>
      <c r="L418" s="61"/>
      <c r="M418" s="62"/>
      <c r="N418" s="92">
        <v>1.0</v>
      </c>
      <c r="O418" s="92">
        <v>1.0</v>
      </c>
      <c r="P418" s="92">
        <v>1.0</v>
      </c>
      <c r="Q418" s="92">
        <v>1.0</v>
      </c>
      <c r="R418" s="92">
        <v>1.0</v>
      </c>
      <c r="S418" s="145">
        <v>0.0</v>
      </c>
      <c r="T418" s="92">
        <v>0.0</v>
      </c>
      <c r="U418" s="145">
        <v>0.0</v>
      </c>
      <c r="V418" s="92">
        <v>0.0</v>
      </c>
      <c r="W418" s="92">
        <v>0.0</v>
      </c>
      <c r="X418" s="117"/>
      <c r="Y418" s="173"/>
      <c r="Z418" s="65"/>
    </row>
    <row r="419" ht="14.25" customHeight="1">
      <c r="B419" s="113"/>
      <c r="D419" s="575"/>
      <c r="E419" s="576" t="s">
        <v>1093</v>
      </c>
      <c r="L419" s="61"/>
      <c r="M419" s="62"/>
      <c r="N419" s="92">
        <v>1.0</v>
      </c>
      <c r="O419" s="92">
        <v>1.0</v>
      </c>
      <c r="P419" s="92">
        <v>1.0</v>
      </c>
      <c r="Q419" s="92">
        <v>1.0</v>
      </c>
      <c r="R419" s="92">
        <v>1.0</v>
      </c>
      <c r="S419" s="145">
        <v>0.0</v>
      </c>
      <c r="T419" s="92">
        <v>0.0</v>
      </c>
      <c r="U419" s="145">
        <v>0.0</v>
      </c>
      <c r="V419" s="92">
        <v>0.0</v>
      </c>
      <c r="W419" s="92">
        <v>0.0</v>
      </c>
      <c r="X419" s="117"/>
      <c r="Y419" s="173"/>
      <c r="Z419" s="65"/>
    </row>
    <row r="420" ht="14.25" customHeight="1">
      <c r="B420" s="113"/>
      <c r="D420" s="575"/>
      <c r="E420" s="582"/>
      <c r="L420" s="61"/>
      <c r="M420" s="62"/>
      <c r="N420" s="92"/>
      <c r="O420" s="145"/>
      <c r="P420" s="92"/>
      <c r="Q420" s="567"/>
      <c r="R420" s="241"/>
      <c r="S420" s="145"/>
      <c r="T420" s="92"/>
      <c r="U420" s="145"/>
      <c r="V420" s="92"/>
      <c r="W420" s="68"/>
      <c r="X420" s="117"/>
      <c r="Y420" s="173"/>
      <c r="Z420" s="65"/>
    </row>
    <row r="421" ht="14.25" customHeight="1">
      <c r="B421" s="113"/>
      <c r="D421" s="574"/>
      <c r="E421" s="573" t="s">
        <v>1049</v>
      </c>
      <c r="L421" s="61"/>
      <c r="M421" s="62"/>
      <c r="N421" s="92"/>
      <c r="O421" s="145"/>
      <c r="P421" s="92"/>
      <c r="Q421" s="567"/>
      <c r="R421" s="241"/>
      <c r="S421" s="145"/>
      <c r="T421" s="92"/>
      <c r="U421" s="145"/>
      <c r="V421" s="92"/>
      <c r="W421" s="68"/>
      <c r="X421" s="117"/>
      <c r="Y421" s="173"/>
      <c r="Z421" s="65"/>
    </row>
    <row r="422" ht="14.25" customHeight="1">
      <c r="B422" s="113"/>
      <c r="D422" s="582"/>
      <c r="E422" s="583" t="s">
        <v>1094</v>
      </c>
      <c r="L422" s="61"/>
      <c r="M422" s="62"/>
      <c r="N422" s="92">
        <v>1.0</v>
      </c>
      <c r="O422" s="92">
        <v>1.0</v>
      </c>
      <c r="P422" s="92">
        <v>1.0</v>
      </c>
      <c r="Q422" s="92">
        <v>1.0</v>
      </c>
      <c r="R422" s="92">
        <v>1.0</v>
      </c>
      <c r="S422" s="145">
        <v>1.0</v>
      </c>
      <c r="T422" s="92">
        <v>1.0</v>
      </c>
      <c r="U422" s="145">
        <v>1.0</v>
      </c>
      <c r="V422" s="92">
        <v>1.0</v>
      </c>
      <c r="W422" s="145">
        <v>1.0</v>
      </c>
      <c r="X422" s="117"/>
      <c r="Y422" s="173"/>
      <c r="Z422" s="65"/>
    </row>
    <row r="423" ht="14.25" customHeight="1">
      <c r="B423" s="113"/>
      <c r="D423" s="574"/>
      <c r="E423" s="573"/>
      <c r="L423" s="61"/>
      <c r="M423" s="62"/>
      <c r="N423" s="92"/>
      <c r="O423" s="145"/>
      <c r="P423" s="92"/>
      <c r="Q423" s="567"/>
      <c r="R423" s="241"/>
      <c r="S423" s="145"/>
      <c r="T423" s="92"/>
      <c r="U423" s="145"/>
      <c r="V423" s="92"/>
      <c r="W423" s="68"/>
      <c r="X423" s="117"/>
      <c r="Y423" s="173"/>
      <c r="Z423" s="65"/>
    </row>
    <row r="424" ht="14.25" customHeight="1">
      <c r="B424" s="113"/>
      <c r="D424" s="560" t="s">
        <v>1095</v>
      </c>
      <c r="E424" s="561"/>
      <c r="L424" s="61"/>
      <c r="M424" s="62"/>
      <c r="N424" s="64"/>
      <c r="O424" s="68"/>
      <c r="P424" s="64"/>
      <c r="Q424" s="62"/>
      <c r="R424" s="63"/>
      <c r="S424" s="68"/>
      <c r="T424" s="64"/>
      <c r="U424" s="68"/>
      <c r="V424" s="64"/>
      <c r="W424" s="68"/>
      <c r="X424" s="117"/>
      <c r="Y424" s="173"/>
      <c r="Z424" s="65"/>
    </row>
    <row r="425" ht="14.25" customHeight="1">
      <c r="B425" s="113"/>
      <c r="D425" s="574"/>
      <c r="E425" s="573" t="s">
        <v>1043</v>
      </c>
      <c r="L425" s="61"/>
      <c r="M425" s="62"/>
      <c r="N425" s="64"/>
      <c r="O425" s="68"/>
      <c r="P425" s="64"/>
      <c r="Q425" s="62"/>
      <c r="R425" s="63"/>
      <c r="S425" s="68"/>
      <c r="T425" s="64"/>
      <c r="U425" s="68"/>
      <c r="V425" s="64"/>
      <c r="W425" s="68"/>
      <c r="X425" s="117"/>
      <c r="Y425" s="173"/>
      <c r="Z425" s="65"/>
    </row>
    <row r="426" ht="14.25" customHeight="1">
      <c r="B426" s="113"/>
      <c r="D426" s="574"/>
      <c r="E426" s="564" t="s">
        <v>1096</v>
      </c>
      <c r="L426" s="61"/>
      <c r="M426" s="62"/>
      <c r="N426" s="64">
        <v>441.0</v>
      </c>
      <c r="O426" s="68">
        <v>441.0</v>
      </c>
      <c r="P426" s="64">
        <v>441.0</v>
      </c>
      <c r="Q426" s="68">
        <v>441.0</v>
      </c>
      <c r="R426" s="64">
        <v>441.0</v>
      </c>
      <c r="S426" s="68">
        <v>278.0</v>
      </c>
      <c r="T426" s="64">
        <v>358.0</v>
      </c>
      <c r="U426" s="68">
        <v>413.0</v>
      </c>
      <c r="V426" s="64">
        <v>435.0</v>
      </c>
      <c r="W426" s="68">
        <v>435.0</v>
      </c>
      <c r="X426" s="546">
        <f>R426-W426</f>
        <v>6</v>
      </c>
      <c r="Y426" s="173"/>
      <c r="Z426" s="65"/>
    </row>
    <row r="427" ht="14.25" customHeight="1">
      <c r="B427" s="113"/>
      <c r="D427" s="574"/>
      <c r="E427" s="564" t="s">
        <v>1097</v>
      </c>
      <c r="L427" s="61"/>
      <c r="M427" s="62"/>
      <c r="N427" s="584" t="s">
        <v>1098</v>
      </c>
      <c r="O427" s="172"/>
      <c r="P427" s="172"/>
      <c r="Q427" s="172"/>
      <c r="R427" s="173"/>
      <c r="T427" s="64"/>
      <c r="U427" s="68"/>
      <c r="V427" s="64"/>
      <c r="W427" s="68"/>
      <c r="X427" s="117"/>
      <c r="Y427" s="173"/>
      <c r="Z427" s="65"/>
    </row>
    <row r="428" ht="14.25" customHeight="1">
      <c r="B428" s="113"/>
      <c r="D428" s="574"/>
      <c r="E428" s="564" t="s">
        <v>1099</v>
      </c>
      <c r="L428" s="61"/>
      <c r="M428" s="62"/>
      <c r="N428" s="64">
        <v>106.0</v>
      </c>
      <c r="O428" s="64">
        <v>106.0</v>
      </c>
      <c r="P428" s="64">
        <v>106.0</v>
      </c>
      <c r="Q428" s="64">
        <v>106.0</v>
      </c>
      <c r="R428" s="64">
        <v>106.0</v>
      </c>
      <c r="S428" s="68">
        <v>45.0</v>
      </c>
      <c r="T428" s="64">
        <v>67.0</v>
      </c>
      <c r="U428" s="68">
        <v>106.0</v>
      </c>
      <c r="V428" s="64">
        <v>106.0</v>
      </c>
      <c r="W428" s="68">
        <v>106.0</v>
      </c>
      <c r="X428" s="546">
        <f t="shared" ref="X428:X430" si="30">R428-W428</f>
        <v>0</v>
      </c>
      <c r="Y428" s="173"/>
      <c r="Z428" s="65"/>
    </row>
    <row r="429" ht="14.25" customHeight="1">
      <c r="B429" s="113"/>
      <c r="D429" s="574"/>
      <c r="E429" s="564" t="s">
        <v>1100</v>
      </c>
      <c r="L429" s="61"/>
      <c r="M429" s="62"/>
      <c r="N429" s="64">
        <v>87162.0</v>
      </c>
      <c r="O429" s="64">
        <v>87162.0</v>
      </c>
      <c r="P429" s="64">
        <v>87162.0</v>
      </c>
      <c r="Q429" s="64">
        <v>87162.0</v>
      </c>
      <c r="R429" s="64">
        <v>87162.0</v>
      </c>
      <c r="S429" s="68" t="s">
        <v>1101</v>
      </c>
      <c r="T429" s="83">
        <v>86725.0</v>
      </c>
      <c r="U429" s="119">
        <v>86725.0</v>
      </c>
      <c r="V429" s="83">
        <v>86725.0</v>
      </c>
      <c r="W429" s="83">
        <v>86725.0</v>
      </c>
      <c r="X429" s="546">
        <f t="shared" si="30"/>
        <v>437</v>
      </c>
      <c r="Y429" s="173"/>
      <c r="Z429" s="65"/>
    </row>
    <row r="430" ht="14.25" customHeight="1">
      <c r="B430" s="113"/>
      <c r="D430" s="574"/>
      <c r="E430" s="564" t="s">
        <v>1102</v>
      </c>
      <c r="L430" s="61"/>
      <c r="M430" s="62"/>
      <c r="N430" s="64">
        <v>2516.0</v>
      </c>
      <c r="O430" s="64">
        <v>2516.0</v>
      </c>
      <c r="P430" s="64">
        <v>2516.0</v>
      </c>
      <c r="Q430" s="64">
        <v>2516.0</v>
      </c>
      <c r="R430" s="64">
        <v>2516.0</v>
      </c>
      <c r="S430" s="119">
        <v>37070.0</v>
      </c>
      <c r="T430" s="83">
        <v>37070.0</v>
      </c>
      <c r="U430" s="119">
        <v>37070.0</v>
      </c>
      <c r="V430" s="83">
        <v>37070.0</v>
      </c>
      <c r="W430" s="83">
        <v>37070.0</v>
      </c>
      <c r="X430" s="546">
        <f t="shared" si="30"/>
        <v>-34554</v>
      </c>
      <c r="Y430" s="173"/>
      <c r="Z430" s="65"/>
    </row>
    <row r="431" ht="14.25" customHeight="1">
      <c r="B431" s="113"/>
      <c r="D431" s="574"/>
      <c r="E431" s="565"/>
      <c r="L431" s="61"/>
      <c r="M431" s="62"/>
      <c r="N431" s="63"/>
      <c r="O431" s="62"/>
      <c r="P431" s="63"/>
      <c r="Q431" s="62"/>
      <c r="R431" s="63"/>
      <c r="S431" s="68"/>
      <c r="T431" s="64"/>
      <c r="U431" s="68"/>
      <c r="V431" s="64"/>
      <c r="W431" s="68"/>
      <c r="X431" s="117"/>
      <c r="Y431" s="173"/>
      <c r="Z431" s="65"/>
    </row>
    <row r="432" ht="14.25" customHeight="1">
      <c r="B432" s="113"/>
      <c r="D432" s="574"/>
      <c r="E432" s="573" t="s">
        <v>1049</v>
      </c>
      <c r="L432" s="61"/>
      <c r="M432" s="62"/>
      <c r="N432" s="63"/>
      <c r="O432" s="62"/>
      <c r="P432" s="63"/>
      <c r="Q432" s="62"/>
      <c r="R432" s="63"/>
      <c r="S432" s="68"/>
      <c r="T432" s="64"/>
      <c r="U432" s="68"/>
      <c r="V432" s="64"/>
      <c r="W432" s="68"/>
      <c r="X432" s="117"/>
      <c r="Y432" s="173"/>
      <c r="Z432" s="65"/>
    </row>
    <row r="433" ht="14.25" customHeight="1">
      <c r="B433" s="113"/>
      <c r="D433" s="585"/>
      <c r="E433" s="586" t="s">
        <v>1103</v>
      </c>
      <c r="L433" s="61"/>
      <c r="M433" s="62"/>
      <c r="N433" s="241">
        <v>1.0</v>
      </c>
      <c r="O433" s="241">
        <v>1.0</v>
      </c>
      <c r="P433" s="241">
        <v>1.0</v>
      </c>
      <c r="Q433" s="241">
        <v>1.0</v>
      </c>
      <c r="R433" s="92">
        <v>1.0</v>
      </c>
      <c r="S433" s="587">
        <v>0.524</v>
      </c>
      <c r="T433" s="92">
        <v>0.7007</v>
      </c>
      <c r="U433" s="145">
        <v>0.848</v>
      </c>
      <c r="V433" s="92">
        <v>0.885</v>
      </c>
      <c r="W433" s="145">
        <v>0.739425</v>
      </c>
      <c r="X433" s="117"/>
      <c r="Y433" s="173"/>
      <c r="Z433" s="65"/>
    </row>
    <row r="434" ht="14.25" customHeight="1">
      <c r="B434" s="113"/>
      <c r="D434" s="574"/>
      <c r="E434" s="565"/>
      <c r="L434" s="61"/>
      <c r="M434" s="62"/>
      <c r="N434" s="241"/>
      <c r="O434" s="567"/>
      <c r="P434" s="241"/>
      <c r="Q434" s="567"/>
      <c r="R434" s="241"/>
      <c r="S434" s="145"/>
      <c r="T434" s="92"/>
      <c r="U434" s="145"/>
      <c r="V434" s="92"/>
      <c r="W434" s="68"/>
      <c r="X434" s="117"/>
      <c r="Y434" s="173"/>
      <c r="Z434" s="65"/>
    </row>
    <row r="435" ht="14.25" customHeight="1">
      <c r="B435" s="113"/>
      <c r="L435" s="61"/>
      <c r="M435" s="62"/>
      <c r="N435" s="63"/>
      <c r="O435" s="62"/>
      <c r="P435" s="63"/>
      <c r="Q435" s="62"/>
      <c r="R435" s="63"/>
      <c r="S435" s="68"/>
      <c r="T435" s="64"/>
      <c r="U435" s="68"/>
      <c r="V435" s="64"/>
      <c r="W435" s="68"/>
      <c r="X435" s="117"/>
      <c r="Y435" s="173"/>
      <c r="Z435" s="65"/>
    </row>
    <row r="436" ht="14.25" customHeight="1">
      <c r="B436" s="113"/>
      <c r="L436" s="61"/>
      <c r="M436" s="62"/>
      <c r="N436" s="63"/>
      <c r="O436" s="62"/>
      <c r="P436" s="63"/>
      <c r="Q436" s="62"/>
      <c r="R436" s="63"/>
      <c r="S436" s="68"/>
      <c r="T436" s="64"/>
      <c r="U436" s="68"/>
      <c r="V436" s="64"/>
      <c r="W436" s="68"/>
      <c r="X436" s="117"/>
      <c r="Y436" s="173"/>
      <c r="Z436" s="65"/>
    </row>
    <row r="437" ht="14.25" customHeight="1">
      <c r="B437" s="113"/>
      <c r="D437" s="579" t="s">
        <v>1104</v>
      </c>
      <c r="L437" s="61"/>
      <c r="M437" s="62"/>
      <c r="N437" s="63"/>
      <c r="O437" s="62"/>
      <c r="P437" s="63"/>
      <c r="Q437" s="62"/>
      <c r="R437" s="63"/>
      <c r="S437" s="68"/>
      <c r="T437" s="64"/>
      <c r="U437" s="68"/>
      <c r="V437" s="64"/>
      <c r="W437" s="68"/>
      <c r="X437" s="117"/>
      <c r="Y437" s="173"/>
      <c r="Z437" s="65"/>
    </row>
    <row r="438" ht="14.25" customHeight="1">
      <c r="B438" s="113"/>
      <c r="L438" s="61"/>
      <c r="M438" s="62"/>
      <c r="N438" s="63"/>
      <c r="O438" s="62"/>
      <c r="P438" s="63"/>
      <c r="Q438" s="62"/>
      <c r="R438" s="63"/>
      <c r="S438" s="68"/>
      <c r="T438" s="64"/>
      <c r="U438" s="68"/>
      <c r="V438" s="64"/>
      <c r="W438" s="68"/>
      <c r="X438" s="117"/>
      <c r="Y438" s="173"/>
      <c r="Z438" s="65"/>
    </row>
    <row r="439" ht="14.25" customHeight="1">
      <c r="B439" s="113"/>
      <c r="D439" s="118" t="s">
        <v>1105</v>
      </c>
      <c r="L439" s="61"/>
      <c r="M439" s="62"/>
      <c r="N439" s="64"/>
      <c r="O439" s="68"/>
      <c r="P439" s="64"/>
      <c r="Q439" s="68"/>
      <c r="R439" s="64">
        <v>60.0</v>
      </c>
      <c r="S439" s="68">
        <v>49.0</v>
      </c>
      <c r="T439" s="64">
        <v>53.0</v>
      </c>
      <c r="U439" s="68">
        <v>58.0</v>
      </c>
      <c r="V439" s="64">
        <v>46.0</v>
      </c>
      <c r="W439" s="68">
        <v>72.0</v>
      </c>
      <c r="X439" s="546">
        <f t="shared" ref="X439:X442" si="31">R439-W439</f>
        <v>-12</v>
      </c>
      <c r="Y439" s="173"/>
      <c r="Z439" s="65"/>
    </row>
    <row r="440" ht="14.25" customHeight="1">
      <c r="B440" s="113"/>
      <c r="D440" s="118" t="s">
        <v>471</v>
      </c>
      <c r="L440" s="61"/>
      <c r="M440" s="62"/>
      <c r="N440" s="64"/>
      <c r="O440" s="68"/>
      <c r="P440" s="64"/>
      <c r="Q440" s="68"/>
      <c r="R440" s="64">
        <v>87.0</v>
      </c>
      <c r="S440" s="68">
        <v>52.0</v>
      </c>
      <c r="T440" s="64">
        <v>66.0</v>
      </c>
      <c r="U440" s="68">
        <v>60.0</v>
      </c>
      <c r="V440" s="64">
        <v>49.0</v>
      </c>
      <c r="W440" s="68">
        <v>134.0</v>
      </c>
      <c r="X440" s="546">
        <f t="shared" si="31"/>
        <v>-47</v>
      </c>
      <c r="Y440" s="173"/>
      <c r="Z440" s="65"/>
    </row>
    <row r="441" ht="14.25" customHeight="1">
      <c r="B441" s="113"/>
      <c r="D441" s="118" t="s">
        <v>472</v>
      </c>
      <c r="L441" s="61"/>
      <c r="M441" s="62"/>
      <c r="N441" s="64"/>
      <c r="O441" s="68"/>
      <c r="P441" s="64"/>
      <c r="Q441" s="68"/>
      <c r="R441" s="64">
        <v>80.0</v>
      </c>
      <c r="S441" s="68">
        <v>35.0</v>
      </c>
      <c r="T441" s="64">
        <v>49.0</v>
      </c>
      <c r="U441" s="68">
        <v>57.0</v>
      </c>
      <c r="V441" s="64">
        <v>56.0</v>
      </c>
      <c r="W441" s="68">
        <v>80.0</v>
      </c>
      <c r="X441" s="546">
        <f t="shared" si="31"/>
        <v>0</v>
      </c>
      <c r="Y441" s="173"/>
      <c r="Z441" s="65"/>
    </row>
    <row r="442" ht="14.25" customHeight="1">
      <c r="B442" s="113"/>
      <c r="D442" s="118" t="s">
        <v>1106</v>
      </c>
      <c r="L442" s="61"/>
      <c r="M442" s="62"/>
      <c r="N442" s="64"/>
      <c r="O442" s="68"/>
      <c r="P442" s="64"/>
      <c r="Q442" s="68"/>
      <c r="R442" s="64">
        <v>60.0</v>
      </c>
      <c r="S442" s="68">
        <v>40.0</v>
      </c>
      <c r="T442" s="64">
        <v>45.0</v>
      </c>
      <c r="U442" s="68">
        <v>46.0</v>
      </c>
      <c r="V442" s="64">
        <v>52.0</v>
      </c>
      <c r="W442" s="68">
        <v>72.0</v>
      </c>
      <c r="X442" s="546">
        <f t="shared" si="31"/>
        <v>-12</v>
      </c>
      <c r="Y442" s="173"/>
      <c r="Z442" s="65"/>
    </row>
    <row r="443" ht="14.25" customHeight="1">
      <c r="B443" s="113"/>
      <c r="L443" s="61"/>
      <c r="M443" s="62"/>
      <c r="N443" s="64"/>
      <c r="O443" s="68"/>
      <c r="P443" s="64"/>
      <c r="Q443" s="68"/>
      <c r="R443" s="64"/>
      <c r="S443" s="68"/>
      <c r="T443" s="64"/>
      <c r="U443" s="68"/>
      <c r="V443" s="64"/>
      <c r="W443" s="68"/>
      <c r="X443" s="117"/>
      <c r="Y443" s="173"/>
      <c r="Z443" s="65"/>
    </row>
    <row r="444" ht="14.25" customHeight="1">
      <c r="B444" s="60" t="s">
        <v>1107</v>
      </c>
      <c r="L444" s="61"/>
      <c r="M444" s="62"/>
      <c r="N444" s="63"/>
      <c r="O444" s="62"/>
      <c r="P444" s="63"/>
      <c r="Q444" s="62"/>
      <c r="R444" s="63"/>
      <c r="S444" s="68"/>
      <c r="T444" s="64"/>
      <c r="U444" s="68"/>
      <c r="V444" s="64"/>
      <c r="W444" s="68"/>
      <c r="X444" s="117"/>
      <c r="Y444" s="173"/>
      <c r="Z444" s="65"/>
    </row>
    <row r="445" ht="14.25" customHeight="1">
      <c r="B445" s="113"/>
      <c r="L445" s="61"/>
      <c r="M445" s="62"/>
      <c r="N445" s="63"/>
      <c r="O445" s="62"/>
      <c r="P445" s="63"/>
      <c r="Q445" s="62"/>
      <c r="R445" s="63"/>
      <c r="S445" s="68"/>
      <c r="T445" s="64"/>
      <c r="U445" s="68"/>
      <c r="V445" s="64"/>
      <c r="W445" s="68"/>
      <c r="X445" s="117"/>
      <c r="Y445" s="173"/>
      <c r="Z445" s="65"/>
    </row>
    <row r="446" ht="14.25" customHeight="1">
      <c r="B446" s="113"/>
      <c r="D446" s="588" t="s">
        <v>1108</v>
      </c>
      <c r="E446" s="589"/>
      <c r="L446" s="61"/>
      <c r="M446" s="62"/>
      <c r="N446" s="63"/>
      <c r="O446" s="62"/>
      <c r="P446" s="63"/>
      <c r="Q446" s="62"/>
      <c r="R446" s="63"/>
      <c r="S446" s="68"/>
      <c r="T446" s="64"/>
      <c r="U446" s="68"/>
      <c r="V446" s="64"/>
      <c r="W446" s="68"/>
      <c r="X446" s="117"/>
      <c r="Y446" s="173"/>
      <c r="Z446" s="65"/>
    </row>
    <row r="447" ht="14.25" customHeight="1">
      <c r="B447" s="113"/>
      <c r="D447" s="91" t="s">
        <v>1043</v>
      </c>
      <c r="E447" s="70" t="s">
        <v>1109</v>
      </c>
      <c r="L447" s="61"/>
      <c r="M447" s="62"/>
      <c r="N447" s="63"/>
      <c r="O447" s="62"/>
      <c r="P447" s="63"/>
      <c r="Q447" s="62"/>
      <c r="R447" s="63"/>
      <c r="S447" s="68"/>
      <c r="T447" s="64"/>
      <c r="U447" s="68"/>
      <c r="V447" s="64"/>
      <c r="W447" s="68"/>
      <c r="X447" s="117"/>
      <c r="Y447" s="173"/>
      <c r="Z447" s="65"/>
    </row>
    <row r="448" ht="14.25" customHeight="1">
      <c r="B448" s="113"/>
      <c r="D448" s="70"/>
      <c r="E448" s="91" t="s">
        <v>1110</v>
      </c>
      <c r="L448" s="61"/>
      <c r="M448" s="62"/>
      <c r="N448" s="64"/>
      <c r="O448" s="68"/>
      <c r="P448" s="64"/>
      <c r="Q448" s="68"/>
      <c r="R448" s="64"/>
      <c r="S448" s="68"/>
      <c r="T448" s="64"/>
      <c r="U448" s="68"/>
      <c r="V448" s="64"/>
      <c r="W448" s="68"/>
      <c r="X448" s="117"/>
      <c r="Y448" s="173"/>
      <c r="Z448" s="65"/>
    </row>
    <row r="449" ht="14.25" customHeight="1">
      <c r="B449" s="113"/>
      <c r="D449" s="70"/>
      <c r="E449" s="70" t="s">
        <v>1111</v>
      </c>
      <c r="L449" s="61"/>
      <c r="M449" s="62"/>
      <c r="N449" s="64"/>
      <c r="O449" s="68">
        <v>98.0</v>
      </c>
      <c r="P449" s="64">
        <v>98.0</v>
      </c>
      <c r="Q449" s="68">
        <v>98.0</v>
      </c>
      <c r="R449" s="64">
        <f>SUM(N449:Q449)</f>
        <v>294</v>
      </c>
      <c r="S449" s="68">
        <v>353.0</v>
      </c>
      <c r="T449" s="64">
        <v>172.0</v>
      </c>
      <c r="U449" s="68">
        <v>1504.0</v>
      </c>
      <c r="V449" s="64">
        <v>287.0</v>
      </c>
      <c r="W449" s="68">
        <f t="shared" ref="W449:W453" si="32">SUM(S449:V449)</f>
        <v>2316</v>
      </c>
      <c r="X449" s="546">
        <f>R449-W449</f>
        <v>-2022</v>
      </c>
      <c r="Y449" s="173"/>
      <c r="Z449" s="65"/>
    </row>
    <row r="450" ht="14.25" customHeight="1">
      <c r="B450" s="113"/>
      <c r="D450" s="70"/>
      <c r="E450" s="70" t="s">
        <v>1112</v>
      </c>
      <c r="L450" s="61"/>
      <c r="M450" s="62"/>
      <c r="N450" s="64"/>
      <c r="O450" s="68"/>
      <c r="P450" s="64"/>
      <c r="Q450" s="68"/>
      <c r="R450" s="64"/>
      <c r="S450" s="68">
        <v>102.0</v>
      </c>
      <c r="T450" s="64">
        <v>111.0</v>
      </c>
      <c r="U450" s="68">
        <v>56.0</v>
      </c>
      <c r="V450" s="64">
        <v>65.0</v>
      </c>
      <c r="W450" s="68">
        <f t="shared" si="32"/>
        <v>334</v>
      </c>
      <c r="X450" s="117"/>
      <c r="Y450" s="173"/>
      <c r="Z450" s="65"/>
    </row>
    <row r="451" ht="14.25" customHeight="1">
      <c r="B451" s="113"/>
      <c r="D451" s="70"/>
      <c r="E451" s="70" t="s">
        <v>1113</v>
      </c>
      <c r="L451" s="61"/>
      <c r="M451" s="62"/>
      <c r="N451" s="64"/>
      <c r="O451" s="68">
        <v>100.0</v>
      </c>
      <c r="P451" s="64">
        <v>100.0</v>
      </c>
      <c r="Q451" s="68">
        <v>100.0</v>
      </c>
      <c r="R451" s="64">
        <f>SUM(N451:Q451)</f>
        <v>300</v>
      </c>
      <c r="S451" s="68">
        <v>4.0</v>
      </c>
      <c r="T451" s="64">
        <v>63.0</v>
      </c>
      <c r="U451" s="68"/>
      <c r="V451" s="64">
        <v>18.0</v>
      </c>
      <c r="W451" s="68">
        <f t="shared" si="32"/>
        <v>85</v>
      </c>
      <c r="X451" s="546">
        <f>R451-W451</f>
        <v>215</v>
      </c>
      <c r="Y451" s="173"/>
      <c r="Z451" s="65"/>
    </row>
    <row r="452" ht="14.25" customHeight="1">
      <c r="B452" s="113"/>
      <c r="D452" s="70"/>
      <c r="E452" s="70" t="s">
        <v>1114</v>
      </c>
      <c r="L452" s="61"/>
      <c r="M452" s="62"/>
      <c r="N452" s="64"/>
      <c r="O452" s="68"/>
      <c r="P452" s="64"/>
      <c r="Q452" s="68"/>
      <c r="R452" s="64"/>
      <c r="S452" s="68">
        <v>4.0</v>
      </c>
      <c r="T452" s="64">
        <v>9.0</v>
      </c>
      <c r="U452" s="68">
        <v>76.0</v>
      </c>
      <c r="V452" s="64">
        <v>57.0</v>
      </c>
      <c r="W452" s="68">
        <f t="shared" si="32"/>
        <v>146</v>
      </c>
      <c r="X452" s="117"/>
      <c r="Y452" s="173"/>
      <c r="Z452" s="65"/>
    </row>
    <row r="453" ht="14.25" customHeight="1">
      <c r="B453" s="113"/>
      <c r="D453" s="70"/>
      <c r="E453" s="70" t="s">
        <v>1115</v>
      </c>
      <c r="L453" s="61"/>
      <c r="M453" s="62"/>
      <c r="N453" s="64"/>
      <c r="O453" s="68"/>
      <c r="P453" s="64"/>
      <c r="Q453" s="68"/>
      <c r="R453" s="64"/>
      <c r="S453" s="68">
        <v>304.0</v>
      </c>
      <c r="T453" s="64">
        <v>1325.0</v>
      </c>
      <c r="U453" s="68"/>
      <c r="V453" s="64"/>
      <c r="W453" s="68">
        <f t="shared" si="32"/>
        <v>1629</v>
      </c>
      <c r="X453" s="117"/>
      <c r="Y453" s="173"/>
      <c r="Z453" s="65"/>
    </row>
    <row r="454" ht="14.25" customHeight="1">
      <c r="B454" s="113"/>
      <c r="D454" s="70"/>
      <c r="E454" s="70"/>
      <c r="L454" s="61"/>
      <c r="M454" s="62"/>
      <c r="N454" s="64"/>
      <c r="O454" s="68"/>
      <c r="P454" s="64"/>
      <c r="Q454" s="68"/>
      <c r="R454" s="64"/>
      <c r="S454" s="68"/>
      <c r="T454" s="64"/>
      <c r="U454" s="68"/>
      <c r="V454" s="64"/>
      <c r="W454" s="68"/>
      <c r="X454" s="117"/>
      <c r="Y454" s="173"/>
      <c r="Z454" s="65"/>
    </row>
    <row r="455" ht="14.25" customHeight="1">
      <c r="B455" s="113"/>
      <c r="D455" s="185" t="s">
        <v>1046</v>
      </c>
      <c r="E455" s="97" t="s">
        <v>1116</v>
      </c>
      <c r="L455" s="61"/>
      <c r="M455" s="62"/>
      <c r="N455" s="64"/>
      <c r="O455" s="68"/>
      <c r="P455" s="64"/>
      <c r="Q455" s="68"/>
      <c r="R455" s="64"/>
      <c r="S455" s="68"/>
      <c r="T455" s="64"/>
      <c r="U455" s="68"/>
      <c r="V455" s="64"/>
      <c r="W455" s="68"/>
      <c r="X455" s="117"/>
      <c r="Y455" s="173"/>
      <c r="Z455" s="65"/>
    </row>
    <row r="456" ht="14.25" customHeight="1">
      <c r="B456" s="113"/>
      <c r="D456" s="70"/>
      <c r="E456" s="70" t="s">
        <v>1111</v>
      </c>
      <c r="L456" s="61"/>
      <c r="M456" s="62"/>
      <c r="N456" s="92"/>
      <c r="O456" s="92">
        <v>1.0</v>
      </c>
      <c r="P456" s="92">
        <v>1.0</v>
      </c>
      <c r="Q456" s="145">
        <v>1.0</v>
      </c>
      <c r="R456" s="92">
        <v>1.0</v>
      </c>
      <c r="S456" s="590">
        <v>1.0</v>
      </c>
      <c r="T456" s="92">
        <v>1.0</v>
      </c>
      <c r="U456" s="92">
        <v>1.0</v>
      </c>
      <c r="V456" s="92">
        <v>1.0</v>
      </c>
      <c r="W456" s="92">
        <v>1.0</v>
      </c>
      <c r="X456" s="117"/>
      <c r="Y456" s="173"/>
      <c r="Z456" s="65"/>
    </row>
    <row r="457" ht="14.25" customHeight="1">
      <c r="B457" s="113"/>
      <c r="D457" s="70"/>
      <c r="E457" s="70" t="s">
        <v>1112</v>
      </c>
      <c r="L457" s="61"/>
      <c r="M457" s="62"/>
      <c r="N457" s="92"/>
      <c r="O457" s="92"/>
      <c r="P457" s="92"/>
      <c r="Q457" s="145"/>
      <c r="R457" s="92"/>
      <c r="S457" s="590">
        <v>1.0</v>
      </c>
      <c r="T457" s="92">
        <v>1.0</v>
      </c>
      <c r="U457" s="92">
        <v>1.0</v>
      </c>
      <c r="V457" s="92">
        <v>1.0</v>
      </c>
      <c r="W457" s="92">
        <v>1.0</v>
      </c>
      <c r="X457" s="117"/>
      <c r="Y457" s="173"/>
      <c r="Z457" s="65"/>
    </row>
    <row r="458" ht="14.25" customHeight="1">
      <c r="B458" s="113"/>
      <c r="D458" s="70"/>
      <c r="E458" s="70" t="s">
        <v>1113</v>
      </c>
      <c r="L458" s="61"/>
      <c r="M458" s="62"/>
      <c r="N458" s="92"/>
      <c r="O458" s="92">
        <v>1.0</v>
      </c>
      <c r="P458" s="92">
        <v>1.0</v>
      </c>
      <c r="Q458" s="145">
        <v>1.0</v>
      </c>
      <c r="R458" s="92">
        <v>1.0</v>
      </c>
      <c r="S458" s="590">
        <v>1.0</v>
      </c>
      <c r="T458" s="92">
        <v>1.0</v>
      </c>
      <c r="U458" s="92"/>
      <c r="V458" s="92">
        <v>1.0</v>
      </c>
      <c r="W458" s="92">
        <v>1.0</v>
      </c>
      <c r="X458" s="117"/>
      <c r="Y458" s="173"/>
      <c r="Z458" s="65"/>
    </row>
    <row r="459" ht="14.25" customHeight="1">
      <c r="B459" s="113"/>
      <c r="D459" s="70"/>
      <c r="E459" s="70" t="s">
        <v>1114</v>
      </c>
      <c r="L459" s="61"/>
      <c r="M459" s="62"/>
      <c r="N459" s="92"/>
      <c r="O459" s="92"/>
      <c r="P459" s="92"/>
      <c r="Q459" s="145"/>
      <c r="R459" s="92"/>
      <c r="S459" s="590">
        <v>1.0</v>
      </c>
      <c r="T459" s="92">
        <v>1.0</v>
      </c>
      <c r="U459" s="92">
        <v>1.0</v>
      </c>
      <c r="V459" s="92">
        <v>1.0</v>
      </c>
      <c r="W459" s="92">
        <v>1.0</v>
      </c>
      <c r="X459" s="117"/>
      <c r="Y459" s="173"/>
      <c r="Z459" s="65"/>
    </row>
    <row r="460" ht="14.25" customHeight="1">
      <c r="B460" s="113"/>
      <c r="D460" s="70"/>
      <c r="E460" s="70" t="s">
        <v>1115</v>
      </c>
      <c r="L460" s="61"/>
      <c r="M460" s="62"/>
      <c r="N460" s="92"/>
      <c r="O460" s="92"/>
      <c r="P460" s="92"/>
      <c r="Q460" s="145"/>
      <c r="R460" s="92"/>
      <c r="S460" s="590">
        <v>1.0</v>
      </c>
      <c r="T460" s="92">
        <v>1.0</v>
      </c>
      <c r="U460" s="92"/>
      <c r="V460" s="92"/>
      <c r="W460" s="92">
        <v>1.0</v>
      </c>
      <c r="X460" s="117"/>
      <c r="Y460" s="173"/>
      <c r="Z460" s="65"/>
    </row>
    <row r="461" ht="14.25" customHeight="1">
      <c r="B461" s="113"/>
      <c r="D461" s="77"/>
      <c r="E461" s="70"/>
      <c r="L461" s="61"/>
      <c r="M461" s="62"/>
      <c r="N461" s="92"/>
      <c r="O461" s="145"/>
      <c r="P461" s="92"/>
      <c r="Q461" s="145"/>
      <c r="R461" s="92"/>
      <c r="S461" s="145"/>
      <c r="T461" s="92"/>
      <c r="U461" s="145"/>
      <c r="V461" s="92"/>
      <c r="W461" s="68"/>
      <c r="X461" s="117"/>
      <c r="Y461" s="173"/>
      <c r="Z461" s="65"/>
    </row>
    <row r="462" ht="14.25" customHeight="1">
      <c r="B462" s="113"/>
      <c r="D462" s="231" t="s">
        <v>1049</v>
      </c>
      <c r="E462" s="97" t="s">
        <v>1117</v>
      </c>
      <c r="L462" s="61"/>
      <c r="M462" s="62"/>
      <c r="N462" s="92"/>
      <c r="O462" s="145"/>
      <c r="P462" s="92"/>
      <c r="Q462" s="145"/>
      <c r="R462" s="92"/>
      <c r="S462" s="145"/>
      <c r="T462" s="92"/>
      <c r="U462" s="145"/>
      <c r="V462" s="92"/>
      <c r="W462" s="68"/>
      <c r="X462" s="117"/>
      <c r="Y462" s="173"/>
      <c r="Z462" s="65"/>
    </row>
    <row r="463" ht="14.25" customHeight="1">
      <c r="B463" s="113"/>
      <c r="D463" s="70"/>
      <c r="E463" s="70" t="s">
        <v>1111</v>
      </c>
      <c r="L463" s="61"/>
      <c r="M463" s="62"/>
      <c r="N463" s="92"/>
      <c r="O463" s="92">
        <v>1.0</v>
      </c>
      <c r="P463" s="92">
        <v>1.0</v>
      </c>
      <c r="Q463" s="145">
        <v>1.0</v>
      </c>
      <c r="R463" s="92">
        <v>1.0</v>
      </c>
      <c r="S463" s="590">
        <v>1.0</v>
      </c>
      <c r="T463" s="92">
        <v>1.0</v>
      </c>
      <c r="U463" s="92">
        <v>1.0</v>
      </c>
      <c r="V463" s="92">
        <v>1.0</v>
      </c>
      <c r="W463" s="92">
        <v>1.0</v>
      </c>
      <c r="X463" s="117"/>
      <c r="Y463" s="173"/>
      <c r="Z463" s="65"/>
    </row>
    <row r="464" ht="14.25" customHeight="1">
      <c r="B464" s="113"/>
      <c r="D464" s="70"/>
      <c r="E464" s="70" t="s">
        <v>1112</v>
      </c>
      <c r="L464" s="61"/>
      <c r="M464" s="62"/>
      <c r="N464" s="92"/>
      <c r="O464" s="92"/>
      <c r="P464" s="92"/>
      <c r="Q464" s="145"/>
      <c r="R464" s="92"/>
      <c r="S464" s="590">
        <v>1.0</v>
      </c>
      <c r="T464" s="92">
        <v>1.0</v>
      </c>
      <c r="U464" s="92">
        <v>1.0</v>
      </c>
      <c r="V464" s="92">
        <v>1.0</v>
      </c>
      <c r="W464" s="92">
        <v>1.0</v>
      </c>
      <c r="X464" s="117"/>
      <c r="Y464" s="173"/>
      <c r="Z464" s="65"/>
    </row>
    <row r="465" ht="14.25" customHeight="1">
      <c r="B465" s="113"/>
      <c r="D465" s="70"/>
      <c r="E465" s="70" t="s">
        <v>1113</v>
      </c>
      <c r="L465" s="61"/>
      <c r="M465" s="62"/>
      <c r="N465" s="92"/>
      <c r="O465" s="92">
        <v>1.0</v>
      </c>
      <c r="P465" s="92">
        <v>1.0</v>
      </c>
      <c r="Q465" s="145">
        <v>1.0</v>
      </c>
      <c r="R465" s="92">
        <v>1.0</v>
      </c>
      <c r="S465" s="590">
        <v>1.0</v>
      </c>
      <c r="T465" s="92">
        <v>1.0</v>
      </c>
      <c r="U465" s="92"/>
      <c r="V465" s="92">
        <v>1.0</v>
      </c>
      <c r="W465" s="92">
        <v>1.0</v>
      </c>
      <c r="X465" s="117"/>
      <c r="Y465" s="173"/>
      <c r="Z465" s="65"/>
    </row>
    <row r="466" ht="14.25" customHeight="1">
      <c r="B466" s="113"/>
      <c r="D466" s="70"/>
      <c r="E466" s="70" t="s">
        <v>1114</v>
      </c>
      <c r="L466" s="61"/>
      <c r="M466" s="62"/>
      <c r="N466" s="92"/>
      <c r="O466" s="92"/>
      <c r="P466" s="92"/>
      <c r="Q466" s="145"/>
      <c r="R466" s="92"/>
      <c r="S466" s="590">
        <v>1.0</v>
      </c>
      <c r="T466" s="92">
        <v>1.0</v>
      </c>
      <c r="U466" s="92">
        <v>1.0</v>
      </c>
      <c r="V466" s="92">
        <v>1.0</v>
      </c>
      <c r="W466" s="92">
        <v>1.0</v>
      </c>
      <c r="X466" s="117"/>
      <c r="Y466" s="173"/>
      <c r="Z466" s="65"/>
    </row>
    <row r="467" ht="14.25" customHeight="1">
      <c r="B467" s="113"/>
      <c r="D467" s="70"/>
      <c r="E467" s="70" t="s">
        <v>1115</v>
      </c>
      <c r="L467" s="61"/>
      <c r="M467" s="62"/>
      <c r="N467" s="92"/>
      <c r="O467" s="92"/>
      <c r="P467" s="92"/>
      <c r="Q467" s="145"/>
      <c r="R467" s="92"/>
      <c r="S467" s="590">
        <v>1.0</v>
      </c>
      <c r="T467" s="92">
        <v>1.0</v>
      </c>
      <c r="U467" s="92"/>
      <c r="V467" s="92"/>
      <c r="W467" s="92">
        <v>1.0</v>
      </c>
      <c r="X467" s="117"/>
      <c r="Y467" s="173"/>
      <c r="Z467" s="65"/>
    </row>
    <row r="468" ht="14.25" customHeight="1">
      <c r="B468" s="113"/>
      <c r="D468" s="183"/>
      <c r="E468" s="70"/>
      <c r="L468" s="61"/>
      <c r="M468" s="62"/>
      <c r="N468" s="64"/>
      <c r="O468" s="68"/>
      <c r="P468" s="64"/>
      <c r="Q468" s="68"/>
      <c r="R468" s="64"/>
      <c r="S468" s="68"/>
      <c r="T468" s="64"/>
      <c r="U468" s="68"/>
      <c r="V468" s="64"/>
      <c r="W468" s="68"/>
      <c r="X468" s="117"/>
      <c r="Y468" s="173"/>
      <c r="Z468" s="65"/>
    </row>
    <row r="469" ht="14.25" customHeight="1">
      <c r="B469" s="113"/>
      <c r="D469" s="588" t="s">
        <v>1118</v>
      </c>
      <c r="E469" s="589"/>
      <c r="L469" s="61"/>
      <c r="M469" s="62"/>
      <c r="N469" s="64"/>
      <c r="O469" s="68"/>
      <c r="P469" s="64"/>
      <c r="Q469" s="68"/>
      <c r="R469" s="64"/>
      <c r="S469" s="68"/>
      <c r="T469" s="64"/>
      <c r="U469" s="68"/>
      <c r="V469" s="64"/>
      <c r="W469" s="68"/>
      <c r="X469" s="117"/>
      <c r="Y469" s="173"/>
      <c r="Z469" s="65"/>
    </row>
    <row r="470" ht="14.25" customHeight="1">
      <c r="B470" s="113"/>
      <c r="D470" s="200" t="s">
        <v>1043</v>
      </c>
      <c r="E470" s="70" t="s">
        <v>1119</v>
      </c>
      <c r="L470" s="61"/>
      <c r="M470" s="62"/>
      <c r="N470" s="64"/>
      <c r="O470" s="68"/>
      <c r="P470" s="64"/>
      <c r="Q470" s="68"/>
      <c r="R470" s="64"/>
      <c r="S470" s="68"/>
      <c r="T470" s="64"/>
      <c r="U470" s="68"/>
      <c r="V470" s="64"/>
      <c r="W470" s="68"/>
      <c r="X470" s="117"/>
      <c r="Y470" s="173"/>
      <c r="Z470" s="65"/>
    </row>
    <row r="471" ht="14.25" customHeight="1">
      <c r="B471" s="113"/>
      <c r="D471" s="183"/>
      <c r="E471" s="70"/>
      <c r="L471" s="61"/>
      <c r="M471" s="62"/>
      <c r="N471" s="64"/>
      <c r="O471" s="68"/>
      <c r="P471" s="64"/>
      <c r="Q471" s="68"/>
      <c r="R471" s="64"/>
      <c r="S471" s="68"/>
      <c r="T471" s="64"/>
      <c r="U471" s="68"/>
      <c r="V471" s="64"/>
      <c r="W471" s="68"/>
      <c r="X471" s="117"/>
      <c r="Y471" s="173"/>
      <c r="Z471" s="65"/>
    </row>
    <row r="472" ht="14.25" customHeight="1">
      <c r="B472" s="113"/>
      <c r="D472" s="183"/>
      <c r="E472" s="91" t="s">
        <v>1111</v>
      </c>
      <c r="L472" s="61"/>
      <c r="M472" s="62"/>
      <c r="N472" s="64">
        <v>10.0</v>
      </c>
      <c r="O472" s="68">
        <v>10.0</v>
      </c>
      <c r="P472" s="64">
        <v>10.0</v>
      </c>
      <c r="Q472" s="68">
        <v>10.0</v>
      </c>
      <c r="R472" s="64">
        <f>SUM(N472:Q472)</f>
        <v>40</v>
      </c>
      <c r="S472" s="68"/>
      <c r="T472" s="64"/>
      <c r="U472" s="68"/>
      <c r="V472" s="64"/>
      <c r="W472" s="68">
        <f>SUM(S472:V472)</f>
        <v>0</v>
      </c>
      <c r="X472" s="117"/>
      <c r="Y472" s="173"/>
      <c r="Z472" s="65"/>
    </row>
    <row r="473" ht="14.25" customHeight="1">
      <c r="B473" s="113"/>
      <c r="D473" s="183"/>
      <c r="E473" s="70" t="s">
        <v>1112</v>
      </c>
      <c r="L473" s="61"/>
      <c r="M473" s="62"/>
      <c r="N473" s="64"/>
      <c r="O473" s="68"/>
      <c r="P473" s="64"/>
      <c r="Q473" s="68"/>
      <c r="R473" s="64"/>
      <c r="S473" s="68"/>
      <c r="T473" s="64"/>
      <c r="U473" s="68"/>
      <c r="V473" s="64"/>
      <c r="W473" s="68"/>
      <c r="X473" s="117"/>
      <c r="Y473" s="173"/>
      <c r="Z473" s="65"/>
    </row>
    <row r="474" ht="14.25" customHeight="1">
      <c r="B474" s="113"/>
      <c r="D474" s="183"/>
      <c r="E474" s="70" t="s">
        <v>1113</v>
      </c>
      <c r="L474" s="61"/>
      <c r="M474" s="62"/>
      <c r="N474" s="64"/>
      <c r="O474" s="68"/>
      <c r="P474" s="64"/>
      <c r="Q474" s="68"/>
      <c r="R474" s="64"/>
      <c r="S474" s="68"/>
      <c r="T474" s="64"/>
      <c r="U474" s="68"/>
      <c r="V474" s="64"/>
      <c r="W474" s="68"/>
      <c r="X474" s="117"/>
      <c r="Y474" s="173"/>
      <c r="Z474" s="65"/>
    </row>
    <row r="475" ht="14.25" customHeight="1">
      <c r="B475" s="113"/>
      <c r="D475" s="183"/>
      <c r="E475" s="70"/>
      <c r="L475" s="61"/>
      <c r="M475" s="62"/>
      <c r="N475" s="64"/>
      <c r="O475" s="68"/>
      <c r="P475" s="64"/>
      <c r="Q475" s="68"/>
      <c r="R475" s="64"/>
      <c r="S475" s="68"/>
      <c r="T475" s="64"/>
      <c r="U475" s="68"/>
      <c r="V475" s="64"/>
      <c r="W475" s="68"/>
      <c r="X475" s="117"/>
      <c r="Y475" s="173"/>
      <c r="Z475" s="65"/>
    </row>
    <row r="476" ht="14.25" customHeight="1">
      <c r="B476" s="113"/>
      <c r="D476" s="185" t="s">
        <v>1046</v>
      </c>
      <c r="E476" s="70" t="s">
        <v>1120</v>
      </c>
      <c r="L476" s="61"/>
      <c r="M476" s="62"/>
      <c r="N476" s="64"/>
      <c r="O476" s="68"/>
      <c r="P476" s="64"/>
      <c r="Q476" s="68"/>
      <c r="R476" s="64"/>
      <c r="S476" s="68"/>
      <c r="T476" s="64"/>
      <c r="U476" s="68"/>
      <c r="V476" s="64"/>
      <c r="W476" s="68"/>
      <c r="X476" s="117"/>
      <c r="Y476" s="173"/>
      <c r="Z476" s="65"/>
    </row>
    <row r="477" ht="14.25" customHeight="1">
      <c r="B477" s="113"/>
      <c r="D477" s="183"/>
      <c r="E477" s="70" t="s">
        <v>1111</v>
      </c>
      <c r="L477" s="61"/>
      <c r="M477" s="62"/>
      <c r="N477" s="114">
        <v>1.0</v>
      </c>
      <c r="O477" s="114">
        <v>1.0</v>
      </c>
      <c r="P477" s="114">
        <v>1.0</v>
      </c>
      <c r="Q477" s="114">
        <v>1.0</v>
      </c>
      <c r="R477" s="64"/>
      <c r="S477" s="68"/>
      <c r="T477" s="92"/>
      <c r="U477" s="145"/>
      <c r="V477" s="64"/>
      <c r="W477" s="68"/>
      <c r="X477" s="117"/>
      <c r="Y477" s="173"/>
      <c r="Z477" s="65"/>
    </row>
    <row r="478" ht="14.25" customHeight="1">
      <c r="B478" s="113"/>
      <c r="D478" s="183"/>
      <c r="E478" s="70" t="s">
        <v>1112</v>
      </c>
      <c r="L478" s="61"/>
      <c r="M478" s="62"/>
      <c r="N478" s="64"/>
      <c r="O478" s="68"/>
      <c r="P478" s="64"/>
      <c r="Q478" s="68"/>
      <c r="R478" s="64"/>
      <c r="S478" s="68"/>
      <c r="T478" s="64"/>
      <c r="U478" s="68"/>
      <c r="V478" s="64"/>
      <c r="W478" s="68"/>
      <c r="X478" s="117"/>
      <c r="Y478" s="173"/>
      <c r="Z478" s="65"/>
    </row>
    <row r="479" ht="14.25" customHeight="1">
      <c r="B479" s="113"/>
      <c r="D479" s="183"/>
      <c r="E479" s="70" t="s">
        <v>1113</v>
      </c>
      <c r="L479" s="61"/>
      <c r="M479" s="62"/>
      <c r="N479" s="64"/>
      <c r="O479" s="68"/>
      <c r="P479" s="64"/>
      <c r="Q479" s="68"/>
      <c r="R479" s="64"/>
      <c r="S479" s="68"/>
      <c r="T479" s="64"/>
      <c r="U479" s="68"/>
      <c r="V479" s="64"/>
      <c r="W479" s="68"/>
      <c r="X479" s="117"/>
      <c r="Y479" s="173"/>
      <c r="Z479" s="65"/>
    </row>
    <row r="480" ht="14.25" customHeight="1">
      <c r="B480" s="113"/>
      <c r="D480" s="183"/>
      <c r="E480" s="70"/>
      <c r="L480" s="61"/>
      <c r="M480" s="62"/>
      <c r="N480" s="64"/>
      <c r="O480" s="68"/>
      <c r="P480" s="64"/>
      <c r="Q480" s="68"/>
      <c r="R480" s="64"/>
      <c r="S480" s="68"/>
      <c r="T480" s="64"/>
      <c r="U480" s="68"/>
      <c r="V480" s="64"/>
      <c r="W480" s="68"/>
      <c r="X480" s="117"/>
      <c r="Y480" s="173"/>
      <c r="Z480" s="65"/>
    </row>
    <row r="481" ht="14.25" customHeight="1">
      <c r="B481" s="113"/>
      <c r="D481" s="185" t="s">
        <v>1049</v>
      </c>
      <c r="E481" s="70" t="s">
        <v>1121</v>
      </c>
      <c r="L481" s="61"/>
      <c r="M481" s="62"/>
      <c r="N481" s="64"/>
      <c r="O481" s="68"/>
      <c r="P481" s="64"/>
      <c r="Q481" s="68"/>
      <c r="R481" s="64"/>
      <c r="S481" s="68"/>
      <c r="T481" s="64"/>
      <c r="U481" s="68"/>
      <c r="V481" s="64"/>
      <c r="W481" s="68"/>
      <c r="X481" s="117"/>
      <c r="Y481" s="173"/>
      <c r="Z481" s="65"/>
    </row>
    <row r="482" ht="14.25" customHeight="1">
      <c r="B482" s="113"/>
      <c r="D482" s="183"/>
      <c r="E482" s="70" t="s">
        <v>1111</v>
      </c>
      <c r="L482" s="61"/>
      <c r="M482" s="62"/>
      <c r="N482" s="114">
        <v>0.5</v>
      </c>
      <c r="O482" s="114">
        <v>0.5</v>
      </c>
      <c r="P482" s="114">
        <v>0.5</v>
      </c>
      <c r="Q482" s="114">
        <v>0.5</v>
      </c>
      <c r="R482" s="64"/>
      <c r="S482" s="68"/>
      <c r="T482" s="64"/>
      <c r="U482" s="68"/>
      <c r="V482" s="64"/>
      <c r="W482" s="68"/>
      <c r="X482" s="117"/>
      <c r="Y482" s="173"/>
      <c r="Z482" s="65"/>
    </row>
    <row r="483" ht="14.25" customHeight="1">
      <c r="B483" s="113"/>
      <c r="D483" s="183"/>
      <c r="E483" s="70" t="s">
        <v>1112</v>
      </c>
      <c r="L483" s="61"/>
      <c r="M483" s="62"/>
      <c r="N483" s="64"/>
      <c r="O483" s="68"/>
      <c r="P483" s="64"/>
      <c r="Q483" s="68"/>
      <c r="R483" s="64"/>
      <c r="S483" s="68"/>
      <c r="T483" s="64"/>
      <c r="U483" s="68"/>
      <c r="V483" s="64"/>
      <c r="W483" s="68"/>
      <c r="X483" s="117"/>
      <c r="Y483" s="173"/>
      <c r="Z483" s="65"/>
    </row>
    <row r="484" ht="14.25" customHeight="1">
      <c r="B484" s="113"/>
      <c r="D484" s="183"/>
      <c r="E484" s="70" t="s">
        <v>1113</v>
      </c>
      <c r="L484" s="61"/>
      <c r="M484" s="62"/>
      <c r="N484" s="64"/>
      <c r="O484" s="68"/>
      <c r="P484" s="64"/>
      <c r="Q484" s="68"/>
      <c r="R484" s="64"/>
      <c r="S484" s="68"/>
      <c r="T484" s="64"/>
      <c r="U484" s="68"/>
      <c r="V484" s="64"/>
      <c r="W484" s="68"/>
      <c r="X484" s="117"/>
      <c r="Y484" s="173"/>
      <c r="Z484" s="65"/>
    </row>
    <row r="485" ht="14.25" customHeight="1">
      <c r="B485" s="113"/>
      <c r="D485" s="183"/>
      <c r="E485" s="70"/>
      <c r="L485" s="61"/>
      <c r="M485" s="62"/>
      <c r="N485" s="64"/>
      <c r="O485" s="68"/>
      <c r="P485" s="64"/>
      <c r="Q485" s="68"/>
      <c r="R485" s="64"/>
      <c r="S485" s="68"/>
      <c r="T485" s="64"/>
      <c r="U485" s="68"/>
      <c r="V485" s="64"/>
      <c r="W485" s="68"/>
      <c r="X485" s="117"/>
      <c r="Y485" s="173"/>
      <c r="Z485" s="65"/>
    </row>
    <row r="486" ht="14.25" customHeight="1">
      <c r="B486" s="113"/>
      <c r="D486" s="588" t="s">
        <v>1122</v>
      </c>
      <c r="E486" s="589"/>
      <c r="L486" s="61"/>
      <c r="M486" s="62"/>
      <c r="N486" s="64"/>
      <c r="O486" s="68"/>
      <c r="P486" s="64"/>
      <c r="Q486" s="68"/>
      <c r="R486" s="64"/>
      <c r="S486" s="68"/>
      <c r="T486" s="64"/>
      <c r="U486" s="68"/>
      <c r="V486" s="64"/>
      <c r="W486" s="68"/>
      <c r="X486" s="117"/>
      <c r="Y486" s="173"/>
      <c r="Z486" s="65"/>
    </row>
    <row r="487" ht="14.25" customHeight="1">
      <c r="B487" s="113"/>
      <c r="D487" s="200" t="s">
        <v>1043</v>
      </c>
      <c r="E487" s="70" t="s">
        <v>1123</v>
      </c>
      <c r="L487" s="61"/>
      <c r="M487" s="62"/>
      <c r="N487" s="64"/>
      <c r="O487" s="68"/>
      <c r="P487" s="64"/>
      <c r="Q487" s="68"/>
      <c r="R487" s="64"/>
      <c r="S487" s="68"/>
      <c r="T487" s="64"/>
      <c r="U487" s="68"/>
      <c r="V487" s="64"/>
      <c r="W487" s="68"/>
      <c r="X487" s="117"/>
      <c r="Y487" s="173"/>
      <c r="Z487" s="65"/>
    </row>
    <row r="488" ht="14.25" customHeight="1">
      <c r="B488" s="113"/>
      <c r="D488" s="97"/>
      <c r="E488" s="70"/>
      <c r="L488" s="61"/>
      <c r="M488" s="62"/>
      <c r="N488" s="64"/>
      <c r="O488" s="68"/>
      <c r="P488" s="64"/>
      <c r="Q488" s="68"/>
      <c r="R488" s="64"/>
      <c r="S488" s="68"/>
      <c r="T488" s="64"/>
      <c r="U488" s="68"/>
      <c r="V488" s="64"/>
      <c r="W488" s="68"/>
      <c r="X488" s="117"/>
      <c r="Y488" s="173"/>
      <c r="Z488" s="65"/>
    </row>
    <row r="489" ht="14.25" customHeight="1">
      <c r="B489" s="113"/>
      <c r="D489" s="126"/>
      <c r="E489" s="70" t="s">
        <v>1111</v>
      </c>
      <c r="L489" s="61"/>
      <c r="M489" s="62"/>
      <c r="N489" s="64"/>
      <c r="O489" s="68"/>
      <c r="P489" s="64"/>
      <c r="Q489" s="68"/>
      <c r="R489" s="64">
        <f>SUM(N489:Q489)</f>
        <v>0</v>
      </c>
      <c r="S489" s="68"/>
      <c r="T489" s="64"/>
      <c r="U489" s="68"/>
      <c r="V489" s="64"/>
      <c r="W489" s="68">
        <f>SUM(S489:V489)</f>
        <v>0</v>
      </c>
      <c r="X489" s="117"/>
      <c r="Y489" s="173"/>
      <c r="Z489" s="65"/>
    </row>
    <row r="490" ht="14.25" customHeight="1">
      <c r="B490" s="113"/>
      <c r="D490" s="126"/>
      <c r="E490" s="70" t="s">
        <v>1112</v>
      </c>
      <c r="L490" s="61"/>
      <c r="M490" s="62"/>
      <c r="N490" s="64"/>
      <c r="O490" s="68"/>
      <c r="P490" s="64"/>
      <c r="Q490" s="68"/>
      <c r="R490" s="64"/>
      <c r="S490" s="68"/>
      <c r="T490" s="64"/>
      <c r="U490" s="68"/>
      <c r="V490" s="64"/>
      <c r="W490" s="68"/>
      <c r="X490" s="117"/>
      <c r="Y490" s="173"/>
      <c r="Z490" s="65"/>
    </row>
    <row r="491" ht="14.25" customHeight="1">
      <c r="B491" s="113"/>
      <c r="D491" s="194"/>
      <c r="E491" s="70" t="s">
        <v>1113</v>
      </c>
      <c r="L491" s="61"/>
      <c r="M491" s="62"/>
      <c r="N491" s="64"/>
      <c r="O491" s="68"/>
      <c r="P491" s="64"/>
      <c r="Q491" s="68"/>
      <c r="R491" s="64"/>
      <c r="S491" s="68"/>
      <c r="T491" s="64"/>
      <c r="U491" s="68"/>
      <c r="V491" s="64"/>
      <c r="W491" s="68"/>
      <c r="X491" s="117"/>
      <c r="Y491" s="173"/>
      <c r="Z491" s="65"/>
    </row>
    <row r="492" ht="14.25" customHeight="1">
      <c r="B492" s="113"/>
      <c r="D492" s="194"/>
      <c r="E492" s="70"/>
      <c r="L492" s="61"/>
      <c r="M492" s="62"/>
      <c r="N492" s="64"/>
      <c r="O492" s="68"/>
      <c r="P492" s="64"/>
      <c r="Q492" s="68"/>
      <c r="R492" s="64"/>
      <c r="S492" s="68"/>
      <c r="T492" s="64"/>
      <c r="U492" s="68"/>
      <c r="V492" s="64"/>
      <c r="W492" s="68"/>
      <c r="X492" s="117"/>
      <c r="Y492" s="173"/>
      <c r="Z492" s="65"/>
    </row>
    <row r="493" ht="14.25" customHeight="1">
      <c r="B493" s="113"/>
      <c r="D493" s="185" t="s">
        <v>1046</v>
      </c>
      <c r="E493" s="70" t="s">
        <v>1124</v>
      </c>
      <c r="L493" s="61"/>
      <c r="M493" s="62"/>
      <c r="N493" s="64"/>
      <c r="O493" s="68"/>
      <c r="P493" s="64"/>
      <c r="Q493" s="68"/>
      <c r="R493" s="64"/>
      <c r="S493" s="68"/>
      <c r="T493" s="64"/>
      <c r="U493" s="68"/>
      <c r="V493" s="64"/>
      <c r="W493" s="68"/>
      <c r="X493" s="117"/>
      <c r="Y493" s="173"/>
      <c r="Z493" s="65"/>
    </row>
    <row r="494" ht="14.25" customHeight="1">
      <c r="B494" s="113"/>
      <c r="D494" s="126"/>
      <c r="E494" s="70" t="s">
        <v>1111</v>
      </c>
      <c r="L494" s="61"/>
      <c r="M494" s="62"/>
      <c r="N494" s="64"/>
      <c r="O494" s="68"/>
      <c r="P494" s="64"/>
      <c r="Q494" s="68"/>
      <c r="R494" s="64"/>
      <c r="S494" s="68"/>
      <c r="T494" s="64"/>
      <c r="U494" s="145"/>
      <c r="V494" s="64"/>
      <c r="W494" s="68"/>
      <c r="X494" s="117"/>
      <c r="Y494" s="173"/>
      <c r="Z494" s="65"/>
    </row>
    <row r="495" ht="14.25" customHeight="1">
      <c r="B495" s="113"/>
      <c r="D495" s="126"/>
      <c r="E495" s="70" t="s">
        <v>1112</v>
      </c>
      <c r="L495" s="61"/>
      <c r="M495" s="62"/>
      <c r="N495" s="64"/>
      <c r="O495" s="68"/>
      <c r="P495" s="64"/>
      <c r="Q495" s="68"/>
      <c r="R495" s="64"/>
      <c r="S495" s="68"/>
      <c r="T495" s="64"/>
      <c r="U495" s="68"/>
      <c r="V495" s="64"/>
      <c r="W495" s="68"/>
      <c r="X495" s="117"/>
      <c r="Y495" s="173"/>
      <c r="Z495" s="65"/>
    </row>
    <row r="496" ht="14.25" customHeight="1">
      <c r="B496" s="113"/>
      <c r="D496" s="194"/>
      <c r="E496" s="70" t="s">
        <v>1113</v>
      </c>
      <c r="L496" s="61"/>
      <c r="M496" s="62"/>
      <c r="N496" s="64"/>
      <c r="O496" s="68"/>
      <c r="P496" s="64"/>
      <c r="Q496" s="68"/>
      <c r="R496" s="64"/>
      <c r="S496" s="68"/>
      <c r="T496" s="64"/>
      <c r="U496" s="68"/>
      <c r="V496" s="64"/>
      <c r="W496" s="68"/>
      <c r="X496" s="117"/>
      <c r="Y496" s="173"/>
      <c r="Z496" s="65"/>
    </row>
    <row r="497" ht="14.25" customHeight="1">
      <c r="B497" s="113"/>
      <c r="D497" s="194"/>
      <c r="E497" s="70"/>
      <c r="L497" s="61"/>
      <c r="M497" s="62"/>
      <c r="N497" s="64"/>
      <c r="O497" s="68"/>
      <c r="P497" s="64"/>
      <c r="Q497" s="68"/>
      <c r="R497" s="64"/>
      <c r="S497" s="68"/>
      <c r="T497" s="64"/>
      <c r="U497" s="68"/>
      <c r="V497" s="64"/>
      <c r="W497" s="68"/>
      <c r="X497" s="117"/>
      <c r="Y497" s="173"/>
      <c r="Z497" s="65"/>
    </row>
    <row r="498" ht="14.25" customHeight="1">
      <c r="B498" s="113"/>
      <c r="D498" s="185" t="s">
        <v>1049</v>
      </c>
      <c r="E498" s="91" t="s">
        <v>1125</v>
      </c>
      <c r="L498" s="61"/>
      <c r="M498" s="62"/>
      <c r="N498" s="64"/>
      <c r="O498" s="68"/>
      <c r="P498" s="64"/>
      <c r="Q498" s="68"/>
      <c r="R498" s="64"/>
      <c r="S498" s="68"/>
      <c r="T498" s="64"/>
      <c r="U498" s="68"/>
      <c r="V498" s="64"/>
      <c r="W498" s="68"/>
      <c r="X498" s="117"/>
      <c r="Y498" s="173"/>
      <c r="Z498" s="65"/>
    </row>
    <row r="499" ht="14.25" customHeight="1">
      <c r="B499" s="113"/>
      <c r="D499" s="126"/>
      <c r="E499" s="70" t="s">
        <v>1111</v>
      </c>
      <c r="L499" s="61"/>
      <c r="M499" s="62"/>
      <c r="N499" s="64"/>
      <c r="O499" s="68"/>
      <c r="P499" s="64"/>
      <c r="Q499" s="68"/>
      <c r="R499" s="64"/>
      <c r="S499" s="68"/>
      <c r="T499" s="64"/>
      <c r="U499" s="68"/>
      <c r="V499" s="64"/>
      <c r="W499" s="68"/>
      <c r="X499" s="117"/>
      <c r="Y499" s="173"/>
      <c r="Z499" s="65"/>
    </row>
    <row r="500" ht="14.25" customHeight="1">
      <c r="B500" s="113"/>
      <c r="D500" s="126"/>
      <c r="E500" s="70" t="s">
        <v>1112</v>
      </c>
      <c r="L500" s="61"/>
      <c r="M500" s="62"/>
      <c r="N500" s="64"/>
      <c r="O500" s="68"/>
      <c r="P500" s="64"/>
      <c r="Q500" s="68"/>
      <c r="R500" s="64"/>
      <c r="S500" s="68"/>
      <c r="T500" s="64"/>
      <c r="U500" s="68"/>
      <c r="V500" s="64"/>
      <c r="W500" s="68"/>
      <c r="X500" s="117"/>
      <c r="Y500" s="173"/>
      <c r="Z500" s="65"/>
    </row>
    <row r="501" ht="14.25" customHeight="1">
      <c r="B501" s="113"/>
      <c r="D501" s="194"/>
      <c r="E501" s="70" t="s">
        <v>1113</v>
      </c>
      <c r="L501" s="61"/>
      <c r="M501" s="62"/>
      <c r="N501" s="64"/>
      <c r="O501" s="68"/>
      <c r="P501" s="64"/>
      <c r="Q501" s="68"/>
      <c r="R501" s="64"/>
      <c r="S501" s="68"/>
      <c r="T501" s="64"/>
      <c r="U501" s="68"/>
      <c r="V501" s="64"/>
      <c r="W501" s="68"/>
      <c r="X501" s="117"/>
      <c r="Y501" s="173"/>
      <c r="Z501" s="65"/>
    </row>
    <row r="502" ht="14.25" customHeight="1">
      <c r="B502" s="113"/>
      <c r="D502" s="70"/>
      <c r="E502" s="70"/>
      <c r="L502" s="61"/>
      <c r="M502" s="62"/>
      <c r="N502" s="64"/>
      <c r="O502" s="68"/>
      <c r="P502" s="64"/>
      <c r="Q502" s="68"/>
      <c r="R502" s="64"/>
      <c r="S502" s="68"/>
      <c r="T502" s="64"/>
      <c r="U502" s="68"/>
      <c r="V502" s="64"/>
      <c r="W502" s="68"/>
      <c r="X502" s="117"/>
      <c r="Y502" s="173"/>
      <c r="Z502" s="65"/>
    </row>
    <row r="503" ht="14.25" customHeight="1">
      <c r="B503" s="113"/>
      <c r="L503" s="61"/>
      <c r="M503" s="62"/>
      <c r="N503" s="64"/>
      <c r="O503" s="68"/>
      <c r="P503" s="64"/>
      <c r="Q503" s="68"/>
      <c r="R503" s="64"/>
      <c r="S503" s="68"/>
      <c r="T503" s="64"/>
      <c r="U503" s="68"/>
      <c r="V503" s="64"/>
      <c r="W503" s="68"/>
      <c r="X503" s="117"/>
      <c r="Y503" s="173"/>
      <c r="Z503" s="65"/>
    </row>
    <row r="504" ht="14.25" customHeight="1">
      <c r="B504" s="60" t="s">
        <v>1126</v>
      </c>
      <c r="L504" s="61"/>
      <c r="M504" s="62"/>
      <c r="N504" s="64"/>
      <c r="O504" s="68"/>
      <c r="P504" s="64"/>
      <c r="Q504" s="68"/>
      <c r="R504" s="64"/>
      <c r="S504" s="68"/>
      <c r="T504" s="64"/>
      <c r="U504" s="68"/>
      <c r="V504" s="64"/>
      <c r="W504" s="68"/>
      <c r="X504" s="117"/>
      <c r="Y504" s="173"/>
      <c r="Z504" s="65"/>
    </row>
    <row r="505" ht="14.25" customHeight="1">
      <c r="B505" s="113"/>
      <c r="L505" s="61"/>
      <c r="M505" s="62"/>
      <c r="N505" s="64"/>
      <c r="O505" s="68"/>
      <c r="P505" s="64"/>
      <c r="Q505" s="68"/>
      <c r="R505" s="64"/>
      <c r="S505" s="68"/>
      <c r="T505" s="64"/>
      <c r="U505" s="68"/>
      <c r="V505" s="64"/>
      <c r="W505" s="68"/>
      <c r="X505" s="117"/>
      <c r="Y505" s="173"/>
      <c r="Z505" s="65"/>
    </row>
    <row r="506" ht="14.25" customHeight="1">
      <c r="B506" s="113"/>
      <c r="D506" s="591" t="s">
        <v>1127</v>
      </c>
      <c r="E506" s="592" t="s">
        <v>1128</v>
      </c>
      <c r="F506" s="593"/>
      <c r="G506" s="593"/>
      <c r="L506" s="61"/>
      <c r="M506" s="62"/>
      <c r="N506" s="64"/>
      <c r="O506" s="68"/>
      <c r="P506" s="64"/>
      <c r="Q506" s="68"/>
      <c r="R506" s="64">
        <v>8.0</v>
      </c>
      <c r="S506" s="68"/>
      <c r="T506" s="64"/>
      <c r="U506" s="68"/>
      <c r="V506" s="64"/>
      <c r="W506" s="68"/>
      <c r="X506" s="117"/>
      <c r="Y506" s="173"/>
      <c r="Z506" s="65"/>
    </row>
    <row r="507" ht="14.25" customHeight="1">
      <c r="B507" s="113"/>
      <c r="D507" s="592"/>
      <c r="E507" s="591" t="s">
        <v>1129</v>
      </c>
      <c r="F507" s="593" t="s">
        <v>1130</v>
      </c>
      <c r="G507" s="593"/>
      <c r="L507" s="61"/>
      <c r="M507" s="62"/>
      <c r="N507" s="64"/>
      <c r="O507" s="68"/>
      <c r="P507" s="64"/>
      <c r="Q507" s="68"/>
      <c r="R507" s="64">
        <v>8.0</v>
      </c>
      <c r="S507" s="594">
        <v>1.0</v>
      </c>
      <c r="T507" s="64">
        <v>1.0</v>
      </c>
      <c r="U507" s="68"/>
      <c r="V507" s="64">
        <v>1.0</v>
      </c>
      <c r="W507" s="119">
        <f>SUM(S507:V507)</f>
        <v>3</v>
      </c>
      <c r="X507" s="546">
        <f>R507-W507</f>
        <v>5</v>
      </c>
      <c r="Y507" s="173"/>
      <c r="Z507" s="65"/>
    </row>
    <row r="508" ht="14.25" customHeight="1">
      <c r="B508" s="113"/>
      <c r="D508" s="592"/>
      <c r="E508" s="591" t="s">
        <v>1131</v>
      </c>
      <c r="F508" s="593" t="s">
        <v>1132</v>
      </c>
      <c r="G508" s="593"/>
      <c r="L508" s="61"/>
      <c r="M508" s="62"/>
      <c r="N508" s="64"/>
      <c r="O508" s="68"/>
      <c r="P508" s="64"/>
      <c r="Q508" s="68"/>
      <c r="R508" s="64">
        <v>8.0</v>
      </c>
      <c r="S508" s="594">
        <v>1.0</v>
      </c>
      <c r="T508" s="64">
        <v>1.0</v>
      </c>
      <c r="U508" s="68"/>
      <c r="V508" s="64">
        <v>1.0</v>
      </c>
      <c r="W508" s="68"/>
      <c r="X508" s="117"/>
      <c r="Y508" s="173"/>
      <c r="Z508" s="65"/>
    </row>
    <row r="509" ht="14.25" customHeight="1">
      <c r="B509" s="113"/>
      <c r="D509" s="591" t="s">
        <v>906</v>
      </c>
      <c r="E509" s="593" t="s">
        <v>1133</v>
      </c>
      <c r="F509" s="593"/>
      <c r="G509" s="593"/>
      <c r="L509" s="61"/>
      <c r="M509" s="62"/>
      <c r="N509" s="64"/>
      <c r="O509" s="68"/>
      <c r="P509" s="64"/>
      <c r="Q509" s="68"/>
      <c r="R509" s="64">
        <v>10.0</v>
      </c>
      <c r="S509" s="68"/>
      <c r="T509" s="64"/>
      <c r="U509" s="68"/>
      <c r="V509" s="64"/>
      <c r="W509" s="68"/>
      <c r="X509" s="117"/>
      <c r="Y509" s="173"/>
      <c r="Z509" s="65"/>
    </row>
    <row r="510" ht="14.25" customHeight="1">
      <c r="B510" s="113"/>
      <c r="D510" s="593"/>
      <c r="E510" s="591" t="s">
        <v>1134</v>
      </c>
      <c r="F510" s="593" t="s">
        <v>1135</v>
      </c>
      <c r="G510" s="593"/>
      <c r="L510" s="61"/>
      <c r="M510" s="62"/>
      <c r="N510" s="64"/>
      <c r="O510" s="68"/>
      <c r="P510" s="64"/>
      <c r="Q510" s="68"/>
      <c r="R510" s="64">
        <v>10.0</v>
      </c>
      <c r="S510" s="68">
        <v>3.0</v>
      </c>
      <c r="T510" s="64">
        <v>4.0</v>
      </c>
      <c r="U510" s="68">
        <v>3.0</v>
      </c>
      <c r="V510" s="64">
        <v>8.0</v>
      </c>
      <c r="W510" s="68">
        <f>SUM(S510:V510)</f>
        <v>18</v>
      </c>
      <c r="X510" s="546">
        <f>R510-W510</f>
        <v>-8</v>
      </c>
      <c r="Y510" s="173"/>
      <c r="Z510" s="65"/>
    </row>
    <row r="511" ht="14.25" customHeight="1">
      <c r="B511" s="113"/>
      <c r="D511" s="593"/>
      <c r="E511" s="591" t="s">
        <v>1136</v>
      </c>
      <c r="F511" s="593" t="s">
        <v>1137</v>
      </c>
      <c r="G511" s="593"/>
      <c r="L511" s="61"/>
      <c r="M511" s="62"/>
      <c r="N511" s="64"/>
      <c r="O511" s="68"/>
      <c r="P511" s="64"/>
      <c r="Q511" s="68"/>
      <c r="R511" s="64">
        <v>10.0</v>
      </c>
      <c r="S511" s="68">
        <v>3.0</v>
      </c>
      <c r="T511" s="64">
        <v>3.0</v>
      </c>
      <c r="U511" s="68">
        <v>2.0</v>
      </c>
      <c r="V511" s="64">
        <v>8.0</v>
      </c>
      <c r="W511" s="68"/>
      <c r="X511" s="117"/>
      <c r="Y511" s="173"/>
      <c r="Z511" s="65"/>
    </row>
    <row r="512" ht="14.25" customHeight="1">
      <c r="B512" s="113"/>
      <c r="D512" s="591" t="s">
        <v>924</v>
      </c>
      <c r="E512" s="593" t="s">
        <v>1138</v>
      </c>
      <c r="F512" s="593"/>
      <c r="G512" s="593"/>
      <c r="L512" s="61"/>
      <c r="M512" s="62"/>
      <c r="N512" s="64"/>
      <c r="O512" s="68"/>
      <c r="P512" s="64"/>
      <c r="Q512" s="68"/>
      <c r="R512" s="64">
        <v>15.0</v>
      </c>
      <c r="S512" s="68"/>
      <c r="T512" s="64"/>
      <c r="U512" s="68"/>
      <c r="V512" s="64"/>
      <c r="W512" s="68"/>
      <c r="X512" s="117"/>
      <c r="Y512" s="173"/>
      <c r="Z512" s="65"/>
    </row>
    <row r="513" ht="14.25" customHeight="1">
      <c r="B513" s="113"/>
      <c r="D513" s="592"/>
      <c r="E513" s="595" t="s">
        <v>1139</v>
      </c>
      <c r="F513" s="593" t="s">
        <v>1140</v>
      </c>
      <c r="G513" s="593"/>
      <c r="L513" s="61"/>
      <c r="M513" s="62"/>
      <c r="N513" s="64"/>
      <c r="O513" s="68"/>
      <c r="P513" s="64"/>
      <c r="Q513" s="68"/>
      <c r="R513" s="64">
        <v>15.0</v>
      </c>
      <c r="S513" s="68">
        <v>3.0</v>
      </c>
      <c r="T513" s="64">
        <v>2.0</v>
      </c>
      <c r="U513" s="68">
        <v>3.0</v>
      </c>
      <c r="V513" s="64">
        <v>10.0</v>
      </c>
      <c r="W513" s="68">
        <f>SUM(S513:V513)</f>
        <v>18</v>
      </c>
      <c r="X513" s="546">
        <f>R513-W513</f>
        <v>-3</v>
      </c>
      <c r="Y513" s="173"/>
      <c r="Z513" s="65"/>
    </row>
    <row r="514" ht="14.25" customHeight="1">
      <c r="B514" s="113"/>
      <c r="D514" s="592"/>
      <c r="E514" s="595" t="s">
        <v>1141</v>
      </c>
      <c r="F514" s="593" t="s">
        <v>1142</v>
      </c>
      <c r="G514" s="593"/>
      <c r="L514" s="61"/>
      <c r="M514" s="62"/>
      <c r="N514" s="64"/>
      <c r="O514" s="68"/>
      <c r="P514" s="64"/>
      <c r="Q514" s="68"/>
      <c r="R514" s="64">
        <v>15.0</v>
      </c>
      <c r="S514" s="68">
        <v>3.0</v>
      </c>
      <c r="T514" s="64">
        <v>2.0</v>
      </c>
      <c r="U514" s="68">
        <v>3.0</v>
      </c>
      <c r="V514" s="64">
        <v>10.0</v>
      </c>
      <c r="W514" s="68"/>
      <c r="X514" s="117"/>
      <c r="Y514" s="173"/>
      <c r="Z514" s="65"/>
    </row>
    <row r="515" ht="14.25" customHeight="1">
      <c r="B515" s="113"/>
      <c r="D515" s="591" t="s">
        <v>926</v>
      </c>
      <c r="E515" s="595" t="s">
        <v>1143</v>
      </c>
      <c r="F515" s="593"/>
      <c r="G515" s="593"/>
      <c r="L515" s="61"/>
      <c r="M515" s="62"/>
      <c r="N515" s="64"/>
      <c r="O515" s="68"/>
      <c r="P515" s="64"/>
      <c r="Q515" s="68"/>
      <c r="R515" s="64">
        <v>15.0</v>
      </c>
      <c r="S515" s="68"/>
      <c r="T515" s="64"/>
      <c r="U515" s="68"/>
      <c r="V515" s="64"/>
      <c r="W515" s="68"/>
      <c r="X515" s="117"/>
      <c r="Y515" s="173"/>
      <c r="Z515" s="65"/>
    </row>
    <row r="516" ht="14.25" customHeight="1">
      <c r="B516" s="113"/>
      <c r="D516" s="592"/>
      <c r="E516" s="595" t="s">
        <v>1144</v>
      </c>
      <c r="F516" s="593" t="s">
        <v>1145</v>
      </c>
      <c r="G516" s="593"/>
      <c r="L516" s="61"/>
      <c r="M516" s="62"/>
      <c r="N516" s="64"/>
      <c r="O516" s="68"/>
      <c r="P516" s="64"/>
      <c r="Q516" s="68"/>
      <c r="R516" s="64">
        <v>10.0</v>
      </c>
      <c r="S516" s="68">
        <v>3.0</v>
      </c>
      <c r="T516" s="64">
        <v>12.0</v>
      </c>
      <c r="U516" s="68"/>
      <c r="V516" s="64" t="s">
        <v>368</v>
      </c>
      <c r="W516" s="68">
        <f>SUM(S516:V516)</f>
        <v>15</v>
      </c>
      <c r="X516" s="546">
        <f>R516-W516</f>
        <v>-5</v>
      </c>
      <c r="Y516" s="173"/>
      <c r="Z516" s="65"/>
    </row>
    <row r="517" ht="14.25" customHeight="1">
      <c r="B517" s="113"/>
      <c r="D517" s="592"/>
      <c r="E517" s="595" t="s">
        <v>1146</v>
      </c>
      <c r="F517" s="593" t="s">
        <v>1147</v>
      </c>
      <c r="G517" s="593"/>
      <c r="L517" s="61"/>
      <c r="M517" s="62"/>
      <c r="N517" s="64"/>
      <c r="O517" s="68"/>
      <c r="P517" s="64"/>
      <c r="Q517" s="68"/>
      <c r="R517" s="64">
        <v>5.0</v>
      </c>
      <c r="S517" s="68">
        <v>1.0</v>
      </c>
      <c r="T517" s="64">
        <v>2.0</v>
      </c>
      <c r="U517" s="68">
        <v>1.0</v>
      </c>
      <c r="V517" s="64">
        <v>2.0</v>
      </c>
      <c r="W517" s="68"/>
      <c r="X517" s="117"/>
      <c r="Y517" s="173"/>
      <c r="Z517" s="65"/>
    </row>
    <row r="518" ht="14.25" customHeight="1">
      <c r="B518" s="113"/>
      <c r="D518" s="592"/>
      <c r="E518" s="595" t="s">
        <v>1148</v>
      </c>
      <c r="F518" s="593" t="s">
        <v>1149</v>
      </c>
      <c r="G518" s="593"/>
      <c r="L518" s="61"/>
      <c r="M518" s="62"/>
      <c r="N518" s="64"/>
      <c r="O518" s="68"/>
      <c r="P518" s="64"/>
      <c r="Q518" s="68"/>
      <c r="R518" s="64">
        <v>10.0</v>
      </c>
      <c r="S518" s="68">
        <v>3.0</v>
      </c>
      <c r="T518" s="64">
        <v>12.0</v>
      </c>
      <c r="U518" s="68"/>
      <c r="V518" s="64" t="s">
        <v>368</v>
      </c>
      <c r="W518" s="68"/>
      <c r="X518" s="117"/>
      <c r="Y518" s="173"/>
      <c r="Z518" s="65"/>
    </row>
    <row r="519" ht="14.25" customHeight="1">
      <c r="B519" s="113"/>
      <c r="D519" s="592"/>
      <c r="E519" s="595" t="s">
        <v>1150</v>
      </c>
      <c r="F519" s="593" t="s">
        <v>1151</v>
      </c>
      <c r="G519" s="593"/>
      <c r="L519" s="61"/>
      <c r="M519" s="62"/>
      <c r="N519" s="64"/>
      <c r="O519" s="68"/>
      <c r="P519" s="64"/>
      <c r="Q519" s="68"/>
      <c r="R519" s="64">
        <v>5.0</v>
      </c>
      <c r="S519" s="68">
        <v>1.0</v>
      </c>
      <c r="T519" s="64">
        <v>2.0</v>
      </c>
      <c r="U519" s="68">
        <v>1.0</v>
      </c>
      <c r="V519" s="64">
        <v>2.0</v>
      </c>
      <c r="W519" s="68">
        <f>SUM(S519:V519)</f>
        <v>6</v>
      </c>
      <c r="X519" s="546">
        <f>R519-W519</f>
        <v>-1</v>
      </c>
      <c r="Y519" s="173"/>
      <c r="Z519" s="65"/>
    </row>
    <row r="520" ht="14.25" customHeight="1">
      <c r="B520" s="113"/>
      <c r="D520" s="591" t="s">
        <v>1152</v>
      </c>
      <c r="E520" s="593" t="s">
        <v>1153</v>
      </c>
      <c r="F520" s="593"/>
      <c r="G520" s="593"/>
      <c r="L520" s="61"/>
      <c r="M520" s="62"/>
      <c r="N520" s="64"/>
      <c r="O520" s="68"/>
      <c r="P520" s="64"/>
      <c r="Q520" s="68"/>
      <c r="R520" s="64"/>
      <c r="S520" s="68"/>
      <c r="T520" s="64"/>
      <c r="U520" s="68"/>
      <c r="V520" s="64"/>
      <c r="W520" s="68"/>
      <c r="X520" s="117"/>
      <c r="Y520" s="173"/>
      <c r="Z520" s="65"/>
    </row>
    <row r="521" ht="14.25" customHeight="1">
      <c r="B521" s="113"/>
      <c r="D521" s="592"/>
      <c r="E521" s="595" t="s">
        <v>1154</v>
      </c>
      <c r="F521" s="593" t="s">
        <v>1155</v>
      </c>
      <c r="G521" s="593"/>
      <c r="L521" s="61"/>
      <c r="M521" s="62"/>
      <c r="N521" s="64">
        <v>50.0</v>
      </c>
      <c r="O521" s="68">
        <v>50.0</v>
      </c>
      <c r="P521" s="64">
        <v>50.0</v>
      </c>
      <c r="Q521" s="68">
        <v>50.0</v>
      </c>
      <c r="R521" s="64">
        <f t="shared" ref="R521:R522" si="33">SUM(N521:Q521)</f>
        <v>200</v>
      </c>
      <c r="S521" s="68">
        <v>30.0</v>
      </c>
      <c r="T521" s="64">
        <v>7.0</v>
      </c>
      <c r="U521" s="68">
        <v>110.0</v>
      </c>
      <c r="V521" s="64">
        <v>110.0</v>
      </c>
      <c r="W521" s="68">
        <f>SUM(S521:V521)</f>
        <v>257</v>
      </c>
      <c r="X521" s="546">
        <f>R521-W521</f>
        <v>-57</v>
      </c>
      <c r="Y521" s="173"/>
      <c r="Z521" s="65"/>
    </row>
    <row r="522" ht="14.25" customHeight="1">
      <c r="B522" s="113"/>
      <c r="D522" s="592"/>
      <c r="E522" s="595" t="s">
        <v>1156</v>
      </c>
      <c r="F522" s="593" t="s">
        <v>1157</v>
      </c>
      <c r="G522" s="593"/>
      <c r="L522" s="61"/>
      <c r="M522" s="62"/>
      <c r="N522" s="64">
        <v>50.0</v>
      </c>
      <c r="O522" s="68">
        <v>50.0</v>
      </c>
      <c r="P522" s="64">
        <v>50.0</v>
      </c>
      <c r="Q522" s="68">
        <v>50.0</v>
      </c>
      <c r="R522" s="64">
        <f t="shared" si="33"/>
        <v>200</v>
      </c>
      <c r="S522" s="68">
        <v>30.0</v>
      </c>
      <c r="T522" s="64">
        <v>7.0</v>
      </c>
      <c r="U522" s="68">
        <v>110.0</v>
      </c>
      <c r="V522" s="64">
        <v>110.0</v>
      </c>
      <c r="W522" s="68"/>
      <c r="X522" s="117"/>
      <c r="Y522" s="173"/>
      <c r="Z522" s="65"/>
    </row>
    <row r="523" ht="14.25" customHeight="1">
      <c r="B523" s="113"/>
      <c r="D523" s="591" t="s">
        <v>1158</v>
      </c>
      <c r="E523" s="593" t="s">
        <v>1159</v>
      </c>
      <c r="F523" s="593"/>
      <c r="G523" s="593"/>
      <c r="L523" s="61"/>
      <c r="M523" s="62"/>
      <c r="N523" s="64"/>
      <c r="O523" s="68"/>
      <c r="P523" s="64"/>
      <c r="Q523" s="68"/>
      <c r="R523" s="64"/>
      <c r="S523" s="68"/>
      <c r="T523" s="64"/>
      <c r="U523" s="68"/>
      <c r="V523" s="64"/>
      <c r="W523" s="68"/>
      <c r="X523" s="117"/>
      <c r="Y523" s="173"/>
      <c r="Z523" s="65"/>
    </row>
    <row r="524" ht="14.25" customHeight="1">
      <c r="B524" s="113"/>
      <c r="D524" s="592"/>
      <c r="E524" s="595" t="s">
        <v>1160</v>
      </c>
      <c r="F524" s="593" t="s">
        <v>1161</v>
      </c>
      <c r="G524" s="593"/>
      <c r="L524" s="61"/>
      <c r="M524" s="62"/>
      <c r="N524" s="64" t="s">
        <v>131</v>
      </c>
      <c r="O524" s="68" t="s">
        <v>131</v>
      </c>
      <c r="P524" s="64" t="s">
        <v>131</v>
      </c>
      <c r="Q524" s="68" t="s">
        <v>131</v>
      </c>
      <c r="R524" s="64" t="s">
        <v>131</v>
      </c>
      <c r="S524" s="68"/>
      <c r="T524" s="64"/>
      <c r="U524" s="68">
        <v>1.0</v>
      </c>
      <c r="V524" s="64">
        <v>2.0</v>
      </c>
      <c r="W524" s="68">
        <f t="shared" ref="W524:W527" si="34">SUM(S524:V524)</f>
        <v>3</v>
      </c>
      <c r="X524" s="117"/>
      <c r="Y524" s="173"/>
      <c r="Z524" s="65"/>
    </row>
    <row r="525" ht="14.25" customHeight="1">
      <c r="B525" s="113"/>
      <c r="D525" s="592"/>
      <c r="E525" s="595" t="s">
        <v>1162</v>
      </c>
      <c r="F525" s="593" t="s">
        <v>1163</v>
      </c>
      <c r="G525" s="593"/>
      <c r="L525" s="61"/>
      <c r="M525" s="62"/>
      <c r="N525" s="64" t="s">
        <v>131</v>
      </c>
      <c r="O525" s="68" t="s">
        <v>131</v>
      </c>
      <c r="P525" s="64" t="s">
        <v>131</v>
      </c>
      <c r="Q525" s="68" t="s">
        <v>131</v>
      </c>
      <c r="R525" s="64" t="s">
        <v>131</v>
      </c>
      <c r="S525" s="68"/>
      <c r="T525" s="64"/>
      <c r="U525" s="68">
        <v>1.0</v>
      </c>
      <c r="V525" s="64">
        <v>1.0</v>
      </c>
      <c r="W525" s="68">
        <f t="shared" si="34"/>
        <v>2</v>
      </c>
      <c r="X525" s="117"/>
      <c r="Y525" s="173"/>
      <c r="Z525" s="65"/>
    </row>
    <row r="526" ht="14.25" customHeight="1">
      <c r="B526" s="113"/>
      <c r="D526" s="592"/>
      <c r="E526" s="595" t="s">
        <v>1164</v>
      </c>
      <c r="F526" s="593" t="s">
        <v>1165</v>
      </c>
      <c r="G526" s="593"/>
      <c r="L526" s="61"/>
      <c r="M526" s="62"/>
      <c r="N526" s="64" t="s">
        <v>131</v>
      </c>
      <c r="O526" s="68" t="s">
        <v>131</v>
      </c>
      <c r="P526" s="64" t="s">
        <v>131</v>
      </c>
      <c r="Q526" s="68" t="s">
        <v>131</v>
      </c>
      <c r="R526" s="64" t="s">
        <v>131</v>
      </c>
      <c r="S526" s="68"/>
      <c r="T526" s="64"/>
      <c r="U526" s="68"/>
      <c r="V526" s="64">
        <v>1.0</v>
      </c>
      <c r="W526" s="68">
        <f t="shared" si="34"/>
        <v>1</v>
      </c>
      <c r="X526" s="117"/>
      <c r="Y526" s="173"/>
      <c r="Z526" s="65"/>
    </row>
    <row r="527" ht="14.25" customHeight="1">
      <c r="B527" s="113"/>
      <c r="D527" s="592"/>
      <c r="E527" s="592">
        <v>6.3</v>
      </c>
      <c r="F527" s="593" t="s">
        <v>1166</v>
      </c>
      <c r="G527" s="593"/>
      <c r="L527" s="61"/>
      <c r="M527" s="62"/>
      <c r="N527" s="64" t="s">
        <v>131</v>
      </c>
      <c r="O527" s="68" t="s">
        <v>131</v>
      </c>
      <c r="P527" s="64" t="s">
        <v>131</v>
      </c>
      <c r="Q527" s="68" t="s">
        <v>131</v>
      </c>
      <c r="R527" s="64" t="s">
        <v>131</v>
      </c>
      <c r="S527" s="68"/>
      <c r="T527" s="64"/>
      <c r="U527" s="68"/>
      <c r="V527" s="64">
        <v>2.0</v>
      </c>
      <c r="W527" s="68">
        <f t="shared" si="34"/>
        <v>2</v>
      </c>
      <c r="X527" s="117"/>
      <c r="Y527" s="173"/>
      <c r="Z527" s="65"/>
    </row>
    <row r="528" ht="14.25" customHeight="1">
      <c r="B528" s="113"/>
      <c r="D528" s="592"/>
      <c r="E528" s="592"/>
      <c r="F528" s="593"/>
      <c r="G528" s="593"/>
      <c r="L528" s="61"/>
      <c r="M528" s="62"/>
      <c r="N528" s="64"/>
      <c r="O528" s="68"/>
      <c r="P528" s="64"/>
      <c r="Q528" s="68"/>
      <c r="R528" s="64"/>
      <c r="S528" s="68"/>
      <c r="T528" s="64"/>
      <c r="U528" s="68"/>
      <c r="V528" s="64"/>
      <c r="W528" s="68"/>
      <c r="X528" s="117"/>
      <c r="Y528" s="173"/>
      <c r="Z528" s="65"/>
    </row>
    <row r="529" ht="14.25" customHeight="1">
      <c r="B529" s="113"/>
      <c r="D529" s="591" t="s">
        <v>1167</v>
      </c>
      <c r="E529" s="593" t="s">
        <v>1168</v>
      </c>
      <c r="F529" s="593"/>
      <c r="G529" s="593"/>
      <c r="L529" s="61"/>
      <c r="M529" s="62"/>
      <c r="N529" s="64"/>
      <c r="O529" s="68"/>
      <c r="P529" s="64"/>
      <c r="Q529" s="68"/>
      <c r="R529" s="64"/>
      <c r="S529" s="68"/>
      <c r="T529" s="64"/>
      <c r="U529" s="68"/>
      <c r="V529" s="64"/>
      <c r="W529" s="68"/>
      <c r="X529" s="117"/>
      <c r="Y529" s="173"/>
      <c r="Z529" s="65"/>
    </row>
    <row r="530" ht="14.25" customHeight="1">
      <c r="B530" s="113"/>
      <c r="D530" s="592"/>
      <c r="E530" s="595" t="s">
        <v>1169</v>
      </c>
      <c r="F530" s="593" t="s">
        <v>1170</v>
      </c>
      <c r="G530" s="593"/>
      <c r="L530" s="61"/>
      <c r="M530" s="62"/>
      <c r="N530" s="64" t="s">
        <v>131</v>
      </c>
      <c r="O530" s="68" t="s">
        <v>131</v>
      </c>
      <c r="P530" s="64" t="s">
        <v>131</v>
      </c>
      <c r="Q530" s="68" t="s">
        <v>131</v>
      </c>
      <c r="R530" s="64" t="s">
        <v>131</v>
      </c>
      <c r="S530" s="68"/>
      <c r="T530" s="64"/>
      <c r="U530" s="68"/>
      <c r="V530" s="64"/>
      <c r="W530" s="68" t="s">
        <v>131</v>
      </c>
      <c r="X530" s="117"/>
      <c r="Y530" s="173"/>
      <c r="Z530" s="65"/>
    </row>
    <row r="531" ht="15.75" customHeight="1">
      <c r="B531" s="113"/>
      <c r="D531" s="592"/>
      <c r="E531" s="596" t="s">
        <v>1171</v>
      </c>
      <c r="F531" s="593" t="s">
        <v>1172</v>
      </c>
      <c r="G531" s="593"/>
      <c r="L531" s="61"/>
      <c r="M531" s="62"/>
      <c r="N531" s="64" t="s">
        <v>131</v>
      </c>
      <c r="O531" s="68" t="s">
        <v>131</v>
      </c>
      <c r="P531" s="64" t="s">
        <v>131</v>
      </c>
      <c r="Q531" s="68" t="s">
        <v>131</v>
      </c>
      <c r="R531" s="64" t="s">
        <v>131</v>
      </c>
      <c r="S531" s="68"/>
      <c r="T531" s="64"/>
      <c r="U531" s="68"/>
      <c r="V531" s="64"/>
      <c r="W531" s="68"/>
      <c r="X531" s="117"/>
      <c r="Y531" s="173"/>
      <c r="Z531" s="65"/>
    </row>
    <row r="532" ht="14.25" customHeight="1">
      <c r="B532" s="113"/>
      <c r="D532" s="592"/>
      <c r="E532" s="596" t="s">
        <v>1173</v>
      </c>
      <c r="F532" s="597" t="s">
        <v>1174</v>
      </c>
      <c r="G532" s="593"/>
      <c r="L532" s="61"/>
      <c r="M532" s="62"/>
      <c r="N532" s="64" t="s">
        <v>131</v>
      </c>
      <c r="O532" s="68" t="s">
        <v>131</v>
      </c>
      <c r="P532" s="64" t="s">
        <v>131</v>
      </c>
      <c r="Q532" s="68" t="s">
        <v>131</v>
      </c>
      <c r="R532" s="64" t="s">
        <v>131</v>
      </c>
      <c r="S532" s="68"/>
      <c r="T532" s="64"/>
      <c r="U532" s="68"/>
      <c r="V532" s="64"/>
      <c r="W532" s="68"/>
      <c r="X532" s="117"/>
      <c r="Y532" s="173"/>
      <c r="Z532" s="65"/>
    </row>
    <row r="533" ht="14.25" customHeight="1">
      <c r="B533" s="113"/>
      <c r="D533" s="592"/>
      <c r="E533" s="592"/>
      <c r="F533" s="593"/>
      <c r="G533" s="593"/>
      <c r="L533" s="61"/>
      <c r="M533" s="62"/>
      <c r="N533" s="64"/>
      <c r="O533" s="68"/>
      <c r="P533" s="64"/>
      <c r="Q533" s="68"/>
      <c r="R533" s="64"/>
      <c r="S533" s="68"/>
      <c r="T533" s="64"/>
      <c r="U533" s="68"/>
      <c r="V533" s="64"/>
      <c r="W533" s="68"/>
      <c r="X533" s="117"/>
      <c r="Y533" s="173"/>
      <c r="Z533" s="65"/>
    </row>
    <row r="534" ht="14.25" customHeight="1">
      <c r="B534" s="113"/>
      <c r="D534" s="592"/>
      <c r="E534" s="597"/>
      <c r="F534" s="597"/>
      <c r="G534" s="593"/>
      <c r="L534" s="61"/>
      <c r="M534" s="62"/>
      <c r="N534" s="64"/>
      <c r="O534" s="68"/>
      <c r="P534" s="64"/>
      <c r="Q534" s="68"/>
      <c r="R534" s="64"/>
      <c r="S534" s="68"/>
      <c r="T534" s="64"/>
      <c r="U534" s="68"/>
      <c r="V534" s="64"/>
      <c r="W534" s="68"/>
      <c r="X534" s="117"/>
      <c r="Y534" s="173"/>
      <c r="Z534" s="65"/>
    </row>
    <row r="535" ht="14.25" customHeight="1">
      <c r="B535" s="113"/>
      <c r="D535" s="591" t="s">
        <v>1175</v>
      </c>
      <c r="E535" s="595" t="s">
        <v>1176</v>
      </c>
      <c r="F535" s="593"/>
      <c r="G535" s="593"/>
      <c r="L535" s="61"/>
      <c r="M535" s="62"/>
      <c r="N535" s="64" t="s">
        <v>131</v>
      </c>
      <c r="O535" s="68" t="s">
        <v>131</v>
      </c>
      <c r="P535" s="64" t="s">
        <v>131</v>
      </c>
      <c r="Q535" s="68" t="s">
        <v>131</v>
      </c>
      <c r="R535" s="64" t="s">
        <v>131</v>
      </c>
      <c r="S535" s="68"/>
      <c r="T535" s="64"/>
      <c r="U535" s="68"/>
      <c r="V535" s="64"/>
      <c r="W535" s="68"/>
      <c r="X535" s="117"/>
      <c r="Y535" s="173"/>
      <c r="Z535" s="65"/>
    </row>
    <row r="536" ht="14.25" customHeight="1">
      <c r="B536" s="113"/>
      <c r="D536" s="592"/>
      <c r="E536" s="592">
        <v>8.1</v>
      </c>
      <c r="F536" s="593" t="s">
        <v>1177</v>
      </c>
      <c r="G536" s="593"/>
      <c r="L536" s="61"/>
      <c r="M536" s="62"/>
      <c r="N536" s="64" t="s">
        <v>131</v>
      </c>
      <c r="O536" s="68" t="s">
        <v>131</v>
      </c>
      <c r="P536" s="64" t="s">
        <v>131</v>
      </c>
      <c r="Q536" s="68" t="s">
        <v>131</v>
      </c>
      <c r="R536" s="64" t="s">
        <v>131</v>
      </c>
      <c r="S536" s="68"/>
      <c r="T536" s="64"/>
      <c r="U536" s="68"/>
      <c r="V536" s="64"/>
      <c r="W536" s="68"/>
      <c r="X536" s="117"/>
      <c r="Y536" s="173"/>
      <c r="Z536" s="65"/>
    </row>
    <row r="537" ht="14.25" customHeight="1">
      <c r="B537" s="113"/>
      <c r="D537" s="592"/>
      <c r="E537" s="592">
        <v>8.2</v>
      </c>
      <c r="F537" s="593" t="s">
        <v>1178</v>
      </c>
      <c r="G537" s="593"/>
      <c r="L537" s="61"/>
      <c r="M537" s="62"/>
      <c r="N537" s="64" t="s">
        <v>131</v>
      </c>
      <c r="O537" s="68" t="s">
        <v>131</v>
      </c>
      <c r="P537" s="64" t="s">
        <v>131</v>
      </c>
      <c r="Q537" s="68" t="s">
        <v>131</v>
      </c>
      <c r="R537" s="64" t="s">
        <v>131</v>
      </c>
      <c r="S537" s="68"/>
      <c r="T537" s="64"/>
      <c r="U537" s="68"/>
      <c r="V537" s="64"/>
      <c r="W537" s="68"/>
      <c r="X537" s="117"/>
      <c r="Y537" s="173"/>
      <c r="Z537" s="65"/>
    </row>
    <row r="538" ht="14.25" customHeight="1">
      <c r="B538" s="113"/>
      <c r="D538" s="592"/>
      <c r="E538" s="592">
        <v>8.3</v>
      </c>
      <c r="F538" s="595" t="s">
        <v>1179</v>
      </c>
      <c r="G538" s="593"/>
      <c r="L538" s="61"/>
      <c r="M538" s="62"/>
      <c r="N538" s="64" t="s">
        <v>131</v>
      </c>
      <c r="O538" s="68" t="s">
        <v>131</v>
      </c>
      <c r="P538" s="64" t="s">
        <v>131</v>
      </c>
      <c r="Q538" s="68" t="s">
        <v>131</v>
      </c>
      <c r="R538" s="64" t="s">
        <v>131</v>
      </c>
      <c r="S538" s="68"/>
      <c r="T538" s="64"/>
      <c r="U538" s="68"/>
      <c r="V538" s="64"/>
      <c r="W538" s="68"/>
      <c r="X538" s="117"/>
      <c r="Y538" s="173"/>
      <c r="Z538" s="65"/>
    </row>
    <row r="539" ht="15.75" customHeight="1">
      <c r="B539" s="243"/>
      <c r="C539" s="244"/>
      <c r="D539" s="245"/>
      <c r="E539" s="246">
        <v>8.4</v>
      </c>
      <c r="F539" s="598" t="s">
        <v>1180</v>
      </c>
      <c r="G539" s="247"/>
      <c r="H539" s="244"/>
      <c r="I539" s="244"/>
      <c r="J539" s="244"/>
      <c r="K539" s="244"/>
      <c r="L539" s="248"/>
      <c r="M539" s="249"/>
      <c r="N539" s="250" t="s">
        <v>131</v>
      </c>
      <c r="O539" s="251" t="s">
        <v>131</v>
      </c>
      <c r="P539" s="250" t="s">
        <v>131</v>
      </c>
      <c r="Q539" s="251" t="s">
        <v>131</v>
      </c>
      <c r="R539" s="250" t="s">
        <v>131</v>
      </c>
      <c r="S539" s="251"/>
      <c r="T539" s="250"/>
      <c r="U539" s="251"/>
      <c r="V539" s="250"/>
      <c r="W539" s="251"/>
      <c r="X539" s="599"/>
      <c r="Y539" s="600"/>
      <c r="Z539" s="253"/>
    </row>
    <row r="540" ht="14.25" customHeight="1">
      <c r="N540" s="206"/>
      <c r="O540" s="206"/>
      <c r="P540" s="206"/>
      <c r="Q540" s="206"/>
      <c r="R540" s="206"/>
      <c r="S540" s="206"/>
      <c r="T540" s="206"/>
      <c r="U540" s="206"/>
      <c r="V540" s="206"/>
      <c r="W540" s="206"/>
      <c r="X540" s="206"/>
      <c r="Y540" s="206"/>
    </row>
    <row r="541" ht="14.25" customHeight="1">
      <c r="S541" s="206"/>
      <c r="T541" s="206"/>
      <c r="U541" s="206"/>
      <c r="V541" s="206"/>
      <c r="W541" s="206"/>
      <c r="X541" s="206"/>
      <c r="Y541" s="206"/>
    </row>
    <row r="542" ht="14.25" customHeight="1">
      <c r="B542" s="118" t="s">
        <v>405</v>
      </c>
      <c r="M542" s="118" t="s">
        <v>406</v>
      </c>
      <c r="S542" s="206"/>
      <c r="T542" s="206"/>
      <c r="U542" s="206"/>
      <c r="V542" s="206" t="s">
        <v>407</v>
      </c>
      <c r="W542" s="206"/>
      <c r="X542" s="206"/>
      <c r="Y542" s="206"/>
    </row>
    <row r="543" ht="14.25" customHeight="1">
      <c r="S543" s="206"/>
      <c r="T543" s="206"/>
      <c r="U543" s="206"/>
      <c r="V543" s="206"/>
      <c r="W543" s="206"/>
      <c r="X543" s="206"/>
      <c r="Y543" s="206"/>
    </row>
    <row r="544" ht="14.25" customHeight="1">
      <c r="S544" s="206"/>
      <c r="T544" s="206"/>
      <c r="U544" s="206"/>
      <c r="V544" s="206"/>
      <c r="W544" s="206"/>
      <c r="X544" s="206"/>
      <c r="Y544" s="206"/>
    </row>
    <row r="545" ht="14.25" customHeight="1">
      <c r="B545" s="579" t="s">
        <v>408</v>
      </c>
      <c r="M545" s="579" t="s">
        <v>409</v>
      </c>
      <c r="S545" s="206"/>
      <c r="T545" s="206"/>
      <c r="U545" s="206"/>
      <c r="V545" s="601" t="s">
        <v>410</v>
      </c>
      <c r="W545" s="206"/>
      <c r="X545" s="206"/>
      <c r="Y545" s="206"/>
    </row>
    <row r="546" ht="14.25" customHeight="1">
      <c r="B546" s="118" t="s">
        <v>411</v>
      </c>
      <c r="M546" s="118" t="s">
        <v>412</v>
      </c>
      <c r="S546" s="206"/>
      <c r="T546" s="206"/>
      <c r="U546" s="206"/>
      <c r="V546" s="602" t="s">
        <v>413</v>
      </c>
      <c r="W546" s="206"/>
      <c r="X546" s="206"/>
      <c r="Y546" s="206"/>
    </row>
    <row r="547" ht="14.25" customHeight="1">
      <c r="S547" s="206"/>
      <c r="T547" s="206"/>
      <c r="U547" s="206"/>
      <c r="V547" s="206"/>
      <c r="W547" s="206"/>
      <c r="X547" s="206"/>
      <c r="Y547" s="206"/>
    </row>
    <row r="548" ht="14.25" customHeight="1">
      <c r="S548" s="206"/>
      <c r="T548" s="206"/>
      <c r="U548" s="206"/>
      <c r="V548" s="206"/>
      <c r="W548" s="206"/>
      <c r="X548" s="206"/>
      <c r="Y548" s="206"/>
    </row>
    <row r="549" ht="14.25" customHeight="1">
      <c r="S549" s="206"/>
      <c r="T549" s="206"/>
      <c r="U549" s="206"/>
      <c r="V549" s="206"/>
      <c r="W549" s="206"/>
      <c r="X549" s="206"/>
      <c r="Y549" s="206"/>
    </row>
    <row r="550" ht="14.25" customHeight="1">
      <c r="S550" s="206"/>
      <c r="T550" s="206"/>
      <c r="U550" s="206"/>
      <c r="V550" s="206"/>
      <c r="W550" s="206"/>
      <c r="X550" s="206"/>
      <c r="Y550" s="206"/>
    </row>
    <row r="551" ht="14.25" customHeight="1">
      <c r="S551" s="206"/>
      <c r="T551" s="206"/>
      <c r="U551" s="206"/>
      <c r="V551" s="206"/>
      <c r="W551" s="206"/>
      <c r="X551" s="206"/>
      <c r="Y551" s="206"/>
    </row>
    <row r="552" ht="14.25" customHeight="1">
      <c r="S552" s="206"/>
      <c r="T552" s="206"/>
      <c r="U552" s="206"/>
      <c r="V552" s="206"/>
      <c r="W552" s="206"/>
      <c r="X552" s="206"/>
      <c r="Y552" s="206"/>
    </row>
    <row r="553" ht="14.25" customHeight="1">
      <c r="S553" s="206"/>
      <c r="T553" s="206"/>
      <c r="U553" s="206"/>
      <c r="V553" s="206"/>
      <c r="W553" s="206"/>
      <c r="X553" s="206"/>
      <c r="Y553" s="206"/>
    </row>
    <row r="554" ht="14.25" customHeight="1">
      <c r="S554" s="206"/>
      <c r="T554" s="206"/>
      <c r="U554" s="206"/>
      <c r="V554" s="206"/>
      <c r="W554" s="206"/>
      <c r="X554" s="206"/>
      <c r="Y554" s="206"/>
    </row>
    <row r="555" ht="14.25" customHeight="1">
      <c r="S555" s="206"/>
      <c r="T555" s="206"/>
      <c r="U555" s="206"/>
      <c r="V555" s="206"/>
      <c r="W555" s="206"/>
      <c r="X555" s="206"/>
      <c r="Y555" s="206"/>
    </row>
    <row r="556" ht="14.25" customHeight="1">
      <c r="S556" s="206"/>
      <c r="T556" s="206"/>
      <c r="U556" s="206"/>
      <c r="V556" s="206"/>
      <c r="W556" s="206"/>
      <c r="X556" s="206"/>
      <c r="Y556" s="206"/>
    </row>
    <row r="557" ht="14.25" customHeight="1">
      <c r="S557" s="206"/>
      <c r="T557" s="206"/>
      <c r="U557" s="206"/>
      <c r="V557" s="206"/>
      <c r="W557" s="206"/>
      <c r="X557" s="206"/>
      <c r="Y557" s="206"/>
    </row>
    <row r="558" ht="14.25" customHeight="1">
      <c r="S558" s="206"/>
      <c r="T558" s="206"/>
      <c r="U558" s="206"/>
      <c r="V558" s="206"/>
      <c r="W558" s="206"/>
      <c r="X558" s="206"/>
      <c r="Y558" s="206"/>
    </row>
    <row r="559" ht="14.25" customHeight="1">
      <c r="S559" s="206"/>
      <c r="T559" s="206"/>
      <c r="U559" s="206"/>
      <c r="V559" s="206"/>
      <c r="W559" s="206"/>
      <c r="X559" s="206"/>
      <c r="Y559" s="206"/>
    </row>
    <row r="560" ht="14.25" customHeight="1">
      <c r="S560" s="206"/>
      <c r="T560" s="206"/>
      <c r="U560" s="206"/>
      <c r="V560" s="206"/>
      <c r="W560" s="206"/>
      <c r="X560" s="206"/>
      <c r="Y560" s="206"/>
    </row>
    <row r="561" ht="14.25" customHeight="1">
      <c r="S561" s="206"/>
      <c r="T561" s="206"/>
      <c r="U561" s="206"/>
      <c r="V561" s="206"/>
      <c r="W561" s="206"/>
      <c r="X561" s="206"/>
      <c r="Y561" s="206"/>
    </row>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547">
    <mergeCell ref="X272:Y272"/>
    <mergeCell ref="X273:Y273"/>
    <mergeCell ref="X274:Y274"/>
    <mergeCell ref="X275:Y275"/>
    <mergeCell ref="X276:Y276"/>
    <mergeCell ref="X277:Y277"/>
    <mergeCell ref="X278:Y278"/>
    <mergeCell ref="X279:Y279"/>
    <mergeCell ref="X280:Y280"/>
    <mergeCell ref="X281:Y281"/>
    <mergeCell ref="X282:Y282"/>
    <mergeCell ref="X283:Y283"/>
    <mergeCell ref="X284:Y284"/>
    <mergeCell ref="X285:Y285"/>
    <mergeCell ref="X286:Y286"/>
    <mergeCell ref="X287:Y287"/>
    <mergeCell ref="X288:Y288"/>
    <mergeCell ref="X289:Y289"/>
    <mergeCell ref="X290:Y290"/>
    <mergeCell ref="X291:Y291"/>
    <mergeCell ref="X292:Y292"/>
    <mergeCell ref="X293:Y293"/>
    <mergeCell ref="X294:Y294"/>
    <mergeCell ref="X295:Y295"/>
    <mergeCell ref="X296:Y296"/>
    <mergeCell ref="X297:Y297"/>
    <mergeCell ref="X298:Y298"/>
    <mergeCell ref="X299:Y299"/>
    <mergeCell ref="X300:Y300"/>
    <mergeCell ref="X301:Y301"/>
    <mergeCell ref="X302:Y302"/>
    <mergeCell ref="X303:Y303"/>
    <mergeCell ref="X304:Y304"/>
    <mergeCell ref="X305:Y305"/>
    <mergeCell ref="X306:Y306"/>
    <mergeCell ref="X307:Y307"/>
    <mergeCell ref="X308:Y308"/>
    <mergeCell ref="X309:Y309"/>
    <mergeCell ref="X310:Y310"/>
    <mergeCell ref="X311:Y311"/>
    <mergeCell ref="X312:Y312"/>
    <mergeCell ref="X313:Y313"/>
    <mergeCell ref="X314:Y314"/>
    <mergeCell ref="X315:Y315"/>
    <mergeCell ref="X316:Y316"/>
    <mergeCell ref="X317:Y317"/>
    <mergeCell ref="X318:Y318"/>
    <mergeCell ref="X319:Y319"/>
    <mergeCell ref="X320:Y320"/>
    <mergeCell ref="X321:Y321"/>
    <mergeCell ref="X322:Y322"/>
    <mergeCell ref="X323:Y323"/>
    <mergeCell ref="X324:Y324"/>
    <mergeCell ref="X325:Y325"/>
    <mergeCell ref="X326:Y326"/>
    <mergeCell ref="X327:Y327"/>
    <mergeCell ref="X328:Y328"/>
    <mergeCell ref="X329:Y329"/>
    <mergeCell ref="X330:Y330"/>
    <mergeCell ref="X331:Y331"/>
    <mergeCell ref="X332:Y332"/>
    <mergeCell ref="X333:Y333"/>
    <mergeCell ref="X334:Y334"/>
    <mergeCell ref="X335:Y335"/>
    <mergeCell ref="X336:Y336"/>
    <mergeCell ref="X337:Y337"/>
    <mergeCell ref="X338:Y338"/>
    <mergeCell ref="X339:Y339"/>
    <mergeCell ref="X340:Y340"/>
    <mergeCell ref="X341:Y341"/>
    <mergeCell ref="X342:Y342"/>
    <mergeCell ref="X343:Y343"/>
    <mergeCell ref="X344:Y344"/>
    <mergeCell ref="X345:Y345"/>
    <mergeCell ref="X346:Y346"/>
    <mergeCell ref="X347:Y347"/>
    <mergeCell ref="X348:Y348"/>
    <mergeCell ref="X349:Y349"/>
    <mergeCell ref="X350:Y350"/>
    <mergeCell ref="X351:Y351"/>
    <mergeCell ref="X352:Y352"/>
    <mergeCell ref="X353:Y353"/>
    <mergeCell ref="X354:Y354"/>
    <mergeCell ref="X355:Y355"/>
    <mergeCell ref="X356:Y356"/>
    <mergeCell ref="X357:Y357"/>
    <mergeCell ref="X358:Y358"/>
    <mergeCell ref="X359:Y359"/>
    <mergeCell ref="X360:Y360"/>
    <mergeCell ref="X361:Y361"/>
    <mergeCell ref="X362:Y362"/>
    <mergeCell ref="X363:Y363"/>
    <mergeCell ref="X364:Y364"/>
    <mergeCell ref="X365:Y365"/>
    <mergeCell ref="X366:Y366"/>
    <mergeCell ref="X367:Y367"/>
    <mergeCell ref="X368:Y368"/>
    <mergeCell ref="X369:Y369"/>
    <mergeCell ref="X370:Y370"/>
    <mergeCell ref="X371:Y371"/>
    <mergeCell ref="X372:Y372"/>
    <mergeCell ref="X373:Y373"/>
    <mergeCell ref="X374:Y374"/>
    <mergeCell ref="X375:Y375"/>
    <mergeCell ref="X376:Y376"/>
    <mergeCell ref="X377:Y377"/>
    <mergeCell ref="X378:Y378"/>
    <mergeCell ref="X379:Y379"/>
    <mergeCell ref="X380:Y380"/>
    <mergeCell ref="X381:Y381"/>
    <mergeCell ref="X382:Y382"/>
    <mergeCell ref="X383:Y383"/>
    <mergeCell ref="X384:Y384"/>
    <mergeCell ref="X385:Y385"/>
    <mergeCell ref="X386:Y386"/>
    <mergeCell ref="X387:Y387"/>
    <mergeCell ref="X388:Y388"/>
    <mergeCell ref="X389:Y389"/>
    <mergeCell ref="X390:Y390"/>
    <mergeCell ref="X391:Y391"/>
    <mergeCell ref="X392:Y392"/>
    <mergeCell ref="X393:Y393"/>
    <mergeCell ref="X394:Y394"/>
    <mergeCell ref="X395:Y395"/>
    <mergeCell ref="X396:Y396"/>
    <mergeCell ref="X397:Y397"/>
    <mergeCell ref="X398:Y398"/>
    <mergeCell ref="X399:Y399"/>
    <mergeCell ref="X400:Y400"/>
    <mergeCell ref="X401:Y401"/>
    <mergeCell ref="X402:Y402"/>
    <mergeCell ref="X403:Y403"/>
    <mergeCell ref="X404:Y404"/>
    <mergeCell ref="X405:Y405"/>
    <mergeCell ref="X406:Y406"/>
    <mergeCell ref="X407:Y407"/>
    <mergeCell ref="X408:Y408"/>
    <mergeCell ref="X409:Y409"/>
    <mergeCell ref="X410:Y410"/>
    <mergeCell ref="X411:Y411"/>
    <mergeCell ref="X426:Y426"/>
    <mergeCell ref="N427:R427"/>
    <mergeCell ref="X427:Y427"/>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8:Y428"/>
    <mergeCell ref="X429:Y429"/>
    <mergeCell ref="X430:Y430"/>
    <mergeCell ref="X431:Y431"/>
    <mergeCell ref="X432:Y432"/>
    <mergeCell ref="X433:Y433"/>
    <mergeCell ref="X434:Y434"/>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X452:Y452"/>
    <mergeCell ref="X453:Y453"/>
    <mergeCell ref="X454:Y454"/>
    <mergeCell ref="X455:Y455"/>
    <mergeCell ref="X456:Y456"/>
    <mergeCell ref="X457:Y457"/>
    <mergeCell ref="X458:Y458"/>
    <mergeCell ref="X459:Y459"/>
    <mergeCell ref="X460:Y460"/>
    <mergeCell ref="X461:Y461"/>
    <mergeCell ref="X462:Y462"/>
    <mergeCell ref="X512:Y512"/>
    <mergeCell ref="X513:Y513"/>
    <mergeCell ref="X514:Y514"/>
    <mergeCell ref="X515:Y515"/>
    <mergeCell ref="X516:Y516"/>
    <mergeCell ref="X517:Y517"/>
    <mergeCell ref="X518:Y518"/>
    <mergeCell ref="X519:Y519"/>
    <mergeCell ref="X520:Y520"/>
    <mergeCell ref="X521:Y521"/>
    <mergeCell ref="X522:Y522"/>
    <mergeCell ref="X523:Y523"/>
    <mergeCell ref="X524:Y524"/>
    <mergeCell ref="X525:Y525"/>
    <mergeCell ref="X533:Y533"/>
    <mergeCell ref="X534:Y534"/>
    <mergeCell ref="X535:Y535"/>
    <mergeCell ref="X536:Y536"/>
    <mergeCell ref="X537:Y537"/>
    <mergeCell ref="X538:Y538"/>
    <mergeCell ref="X539:Y539"/>
    <mergeCell ref="X526:Y526"/>
    <mergeCell ref="X527:Y527"/>
    <mergeCell ref="X528:Y528"/>
    <mergeCell ref="X529:Y529"/>
    <mergeCell ref="X530:Y530"/>
    <mergeCell ref="X531:Y531"/>
    <mergeCell ref="X532:Y532"/>
    <mergeCell ref="X463:Y463"/>
    <mergeCell ref="X464:Y464"/>
    <mergeCell ref="X465:Y465"/>
    <mergeCell ref="X466:Y466"/>
    <mergeCell ref="X467:Y467"/>
    <mergeCell ref="X468:Y468"/>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03:Y503"/>
    <mergeCell ref="X504:Y504"/>
    <mergeCell ref="X505:Y505"/>
    <mergeCell ref="X506:Y506"/>
    <mergeCell ref="X507:Y507"/>
    <mergeCell ref="X508:Y508"/>
    <mergeCell ref="X509:Y509"/>
    <mergeCell ref="X510:Y510"/>
    <mergeCell ref="X511:Y511"/>
    <mergeCell ref="X10:Y14"/>
    <mergeCell ref="X15:Y15"/>
    <mergeCell ref="B9:E9"/>
    <mergeCell ref="B10:L14"/>
    <mergeCell ref="M10:M14"/>
    <mergeCell ref="N10:R11"/>
    <mergeCell ref="S10:W11"/>
    <mergeCell ref="Z10:Z14"/>
    <mergeCell ref="B15:L15"/>
    <mergeCell ref="X1:Z1"/>
    <mergeCell ref="A2:Z2"/>
    <mergeCell ref="A3:Z3"/>
    <mergeCell ref="I5:M5"/>
    <mergeCell ref="I6:M6"/>
    <mergeCell ref="I7:M7"/>
    <mergeCell ref="I8:M8"/>
    <mergeCell ref="N12:N14"/>
    <mergeCell ref="O12:O14"/>
    <mergeCell ref="P12:P14"/>
    <mergeCell ref="Q12:Q14"/>
    <mergeCell ref="R12:R14"/>
    <mergeCell ref="S12:S14"/>
    <mergeCell ref="T12:T14"/>
    <mergeCell ref="U12:U14"/>
    <mergeCell ref="B16:L16"/>
    <mergeCell ref="X16:Y16"/>
    <mergeCell ref="V12:V14"/>
    <mergeCell ref="W12:W14"/>
    <mergeCell ref="X17:Y17"/>
    <mergeCell ref="X18:Y18"/>
    <mergeCell ref="X19:Y19"/>
    <mergeCell ref="X20:Y20"/>
    <mergeCell ref="X21:Y21"/>
    <mergeCell ref="X22:Y22"/>
    <mergeCell ref="X23:Y23"/>
    <mergeCell ref="X24:Y24"/>
    <mergeCell ref="X25:Y25"/>
    <mergeCell ref="X26:Y26"/>
    <mergeCell ref="X27:Y27"/>
    <mergeCell ref="X28:Y28"/>
    <mergeCell ref="X29:Y29"/>
    <mergeCell ref="X30:Y30"/>
    <mergeCell ref="X31:Y31"/>
    <mergeCell ref="X32:Y32"/>
    <mergeCell ref="X33:Y33"/>
    <mergeCell ref="X34:Y34"/>
    <mergeCell ref="X35:Y35"/>
    <mergeCell ref="X36:Y36"/>
    <mergeCell ref="X37:Y37"/>
    <mergeCell ref="X38:Y38"/>
    <mergeCell ref="X39:Y39"/>
    <mergeCell ref="X40:Y40"/>
    <mergeCell ref="X41:Y41"/>
    <mergeCell ref="X42:Y42"/>
    <mergeCell ref="X43:Y43"/>
    <mergeCell ref="X44:Y44"/>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96:Y96"/>
    <mergeCell ref="X97:Y97"/>
    <mergeCell ref="X98:Y98"/>
    <mergeCell ref="X99:Y99"/>
    <mergeCell ref="X100:Y100"/>
    <mergeCell ref="X101:Y101"/>
    <mergeCell ref="X102:Y102"/>
    <mergeCell ref="X103:Y103"/>
    <mergeCell ref="X104:Y104"/>
    <mergeCell ref="X105:Y105"/>
    <mergeCell ref="X106:Y106"/>
    <mergeCell ref="X107:Y107"/>
    <mergeCell ref="X108:Y108"/>
    <mergeCell ref="X109:Y109"/>
    <mergeCell ref="X110:Y110"/>
    <mergeCell ref="X111:Y111"/>
    <mergeCell ref="X114:Y114"/>
    <mergeCell ref="X115:Y115"/>
    <mergeCell ref="X116:Y116"/>
    <mergeCell ref="X117:Y117"/>
    <mergeCell ref="X118:Y118"/>
    <mergeCell ref="X119:Y119"/>
    <mergeCell ref="X120:Y120"/>
    <mergeCell ref="X121:Y121"/>
    <mergeCell ref="X122:Y122"/>
    <mergeCell ref="X123:Y123"/>
    <mergeCell ref="X124:Y124"/>
    <mergeCell ref="X125:Y125"/>
    <mergeCell ref="X126:Y126"/>
    <mergeCell ref="X127:Y127"/>
    <mergeCell ref="X128:Y128"/>
    <mergeCell ref="X129:Y129"/>
    <mergeCell ref="X130:Y130"/>
    <mergeCell ref="X131:Y131"/>
    <mergeCell ref="X133:Y133"/>
    <mergeCell ref="X134:Y134"/>
    <mergeCell ref="X135:Y135"/>
    <mergeCell ref="X136:Y136"/>
    <mergeCell ref="X137:Y137"/>
    <mergeCell ref="X138:Y138"/>
    <mergeCell ref="X139:Y139"/>
    <mergeCell ref="X140:Y140"/>
    <mergeCell ref="X141:Y141"/>
    <mergeCell ref="X142:Y142"/>
    <mergeCell ref="X143:Y143"/>
    <mergeCell ref="X144:Y144"/>
    <mergeCell ref="X145:Y145"/>
    <mergeCell ref="X146:Y146"/>
    <mergeCell ref="X147:Y147"/>
    <mergeCell ref="X148:Y148"/>
    <mergeCell ref="X149:Y149"/>
    <mergeCell ref="X151:Y151"/>
    <mergeCell ref="X152:Y152"/>
    <mergeCell ref="X153:Y153"/>
    <mergeCell ref="X154:Y154"/>
    <mergeCell ref="X155:Y155"/>
    <mergeCell ref="X156:Y156"/>
    <mergeCell ref="X157:Y157"/>
    <mergeCell ref="X158:Y158"/>
    <mergeCell ref="X159:Y159"/>
    <mergeCell ref="X160:Y160"/>
    <mergeCell ref="X161:Y161"/>
    <mergeCell ref="X162:Y162"/>
    <mergeCell ref="X163:Y163"/>
    <mergeCell ref="X164:Y164"/>
    <mergeCell ref="X165:Y165"/>
    <mergeCell ref="X166:Y166"/>
    <mergeCell ref="X167:Y167"/>
    <mergeCell ref="X168:Y168"/>
    <mergeCell ref="X169:Y169"/>
    <mergeCell ref="X170:Y170"/>
    <mergeCell ref="X171:Y171"/>
    <mergeCell ref="X172:Y172"/>
    <mergeCell ref="X173:Y173"/>
    <mergeCell ref="X174:Y174"/>
    <mergeCell ref="X175:Y175"/>
    <mergeCell ref="X176:Y176"/>
    <mergeCell ref="X177:Y177"/>
    <mergeCell ref="X178:Y178"/>
    <mergeCell ref="X179:Y179"/>
    <mergeCell ref="X180:Y180"/>
    <mergeCell ref="X181:Y181"/>
    <mergeCell ref="X182:Y182"/>
    <mergeCell ref="X183:Y183"/>
    <mergeCell ref="X184:Y184"/>
    <mergeCell ref="X185:Y185"/>
    <mergeCell ref="X186:Y186"/>
    <mergeCell ref="X187:Y187"/>
    <mergeCell ref="X188:Y188"/>
    <mergeCell ref="X189:Y189"/>
    <mergeCell ref="X190:Y190"/>
    <mergeCell ref="X191:Y191"/>
    <mergeCell ref="X192:Y192"/>
    <mergeCell ref="X193:Y193"/>
    <mergeCell ref="X194:Y194"/>
    <mergeCell ref="X195:Y195"/>
    <mergeCell ref="X196:Y196"/>
    <mergeCell ref="X197:Y197"/>
    <mergeCell ref="X198:Y198"/>
    <mergeCell ref="X199:Y199"/>
    <mergeCell ref="X200:Y200"/>
    <mergeCell ref="X201:Y201"/>
    <mergeCell ref="X202:Y202"/>
    <mergeCell ref="X203:Y203"/>
    <mergeCell ref="X204:Y204"/>
    <mergeCell ref="X205:Y205"/>
    <mergeCell ref="X206:Y206"/>
    <mergeCell ref="X208:Y208"/>
    <mergeCell ref="X209:Y209"/>
    <mergeCell ref="X210:Y210"/>
    <mergeCell ref="X211:Y211"/>
    <mergeCell ref="X212:Y212"/>
    <mergeCell ref="X213:Y213"/>
    <mergeCell ref="X214:Y214"/>
    <mergeCell ref="X215:Y215"/>
    <mergeCell ref="X216:Y216"/>
    <mergeCell ref="X217:Y217"/>
    <mergeCell ref="X218:Y218"/>
    <mergeCell ref="X219:Y219"/>
    <mergeCell ref="X220:Y220"/>
    <mergeCell ref="X221:Y221"/>
    <mergeCell ref="X222:Y222"/>
    <mergeCell ref="X223:Y223"/>
    <mergeCell ref="X224:Y224"/>
    <mergeCell ref="X225:Y225"/>
    <mergeCell ref="X226:Y226"/>
    <mergeCell ref="X227:Y227"/>
    <mergeCell ref="X228:Y228"/>
    <mergeCell ref="X229:Y229"/>
    <mergeCell ref="X230:Y230"/>
    <mergeCell ref="X231:Y231"/>
    <mergeCell ref="X232:Y232"/>
    <mergeCell ref="X233:Y233"/>
    <mergeCell ref="X234:Y234"/>
    <mergeCell ref="X235:Y235"/>
    <mergeCell ref="X236:Y236"/>
    <mergeCell ref="X237:Y237"/>
    <mergeCell ref="X238:Y238"/>
    <mergeCell ref="X239:Y239"/>
    <mergeCell ref="X240:Y240"/>
    <mergeCell ref="X241:Y241"/>
    <mergeCell ref="X242:Y242"/>
    <mergeCell ref="X243:Y243"/>
    <mergeCell ref="X244:Y244"/>
    <mergeCell ref="X245:Y245"/>
    <mergeCell ref="X246:Y246"/>
    <mergeCell ref="X247:Y247"/>
    <mergeCell ref="X248:Y248"/>
    <mergeCell ref="X249:Y249"/>
    <mergeCell ref="X250:Y250"/>
    <mergeCell ref="X251:Y251"/>
    <mergeCell ref="X252:Y252"/>
    <mergeCell ref="X253:Y253"/>
    <mergeCell ref="X254:Y254"/>
    <mergeCell ref="X255:Y255"/>
    <mergeCell ref="X256:Y256"/>
    <mergeCell ref="X257:Y257"/>
    <mergeCell ref="X258:Y258"/>
    <mergeCell ref="X259:Y259"/>
    <mergeCell ref="X260:Y260"/>
    <mergeCell ref="X261:Y261"/>
    <mergeCell ref="X262:Y262"/>
    <mergeCell ref="X263:Y263"/>
    <mergeCell ref="X264:Y264"/>
    <mergeCell ref="X265:Y265"/>
    <mergeCell ref="X266:Y266"/>
    <mergeCell ref="X267:Y267"/>
    <mergeCell ref="X268:Y268"/>
    <mergeCell ref="X269:Y269"/>
    <mergeCell ref="X270:Y270"/>
    <mergeCell ref="X271:Y271"/>
  </mergeCells>
  <printOptions horizontalCentered="1"/>
  <pageMargins bottom="0.75" footer="0.0" header="0.0" left="0.25" right="0.25" top="0.75"/>
  <pageSetup scale="53" orientation="landscape"/>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1.0" ySplit="15.0" topLeftCell="L16" activePane="bottomRight" state="frozen"/>
      <selection activeCell="L1" sqref="L1" pane="topRight"/>
      <selection activeCell="A16" sqref="A16" pane="bottomLeft"/>
      <selection activeCell="L16" sqref="L16" pane="bottomRight"/>
    </sheetView>
  </sheetViews>
  <sheetFormatPr customHeight="1" defaultColWidth="14.43" defaultRowHeight="15.0"/>
  <cols>
    <col customWidth="1" hidden="1" min="1" max="1" width="9.14"/>
    <col customWidth="1" min="2" max="2" width="12.0"/>
    <col customWidth="1" min="3" max="13" width="9.14"/>
    <col customWidth="1" min="14" max="14" width="14.71"/>
    <col customWidth="1" min="15" max="15" width="14.29"/>
    <col customWidth="1" min="16" max="16" width="15.0"/>
    <col customWidth="1" min="17" max="17" width="13.43"/>
    <col customWidth="1" min="18" max="18" width="18.86"/>
    <col customWidth="1" min="19" max="20" width="13.29"/>
    <col customWidth="1" min="21" max="21" width="16.29"/>
    <col customWidth="1" min="22" max="22" width="12.57"/>
    <col customWidth="1" min="23" max="23" width="20.57"/>
    <col customWidth="1" min="24" max="25" width="9.14"/>
    <col customWidth="1" min="26" max="26" width="13.43"/>
  </cols>
  <sheetData>
    <row r="1" ht="14.25" customHeight="1">
      <c r="A1" s="1"/>
      <c r="B1" s="1"/>
      <c r="C1" s="1"/>
      <c r="D1" s="1"/>
      <c r="E1" s="1"/>
      <c r="F1" s="1"/>
      <c r="G1" s="1"/>
      <c r="H1" s="1"/>
      <c r="I1" s="1"/>
      <c r="J1" s="1"/>
      <c r="K1" s="1"/>
      <c r="L1" s="1"/>
      <c r="M1" s="1"/>
      <c r="N1" s="1"/>
      <c r="O1" s="1"/>
      <c r="P1" s="1"/>
      <c r="Q1" s="1"/>
      <c r="R1" s="1"/>
      <c r="S1" s="1"/>
      <c r="T1" s="1"/>
      <c r="U1" s="1"/>
      <c r="V1" s="1"/>
      <c r="W1" s="1"/>
      <c r="X1" s="2" t="s">
        <v>0</v>
      </c>
      <c r="Y1" s="5"/>
      <c r="Z1" s="3"/>
    </row>
    <row r="2" ht="14.25" customHeight="1">
      <c r="A2" s="4" t="s">
        <v>1</v>
      </c>
      <c r="B2" s="5"/>
      <c r="C2" s="5"/>
      <c r="D2" s="5"/>
      <c r="E2" s="5"/>
      <c r="F2" s="5"/>
      <c r="G2" s="5"/>
      <c r="H2" s="5"/>
      <c r="I2" s="5"/>
      <c r="J2" s="5"/>
      <c r="K2" s="5"/>
      <c r="L2" s="5"/>
      <c r="M2" s="5"/>
      <c r="N2" s="5"/>
      <c r="O2" s="5"/>
      <c r="P2" s="5"/>
      <c r="Q2" s="5"/>
      <c r="R2" s="5"/>
      <c r="S2" s="5"/>
      <c r="T2" s="5"/>
      <c r="U2" s="5"/>
      <c r="V2" s="5"/>
      <c r="W2" s="5"/>
      <c r="X2" s="5"/>
      <c r="Y2" s="5"/>
      <c r="Z2" s="3"/>
    </row>
    <row r="3" ht="14.25" customHeight="1">
      <c r="A3" s="6" t="s">
        <v>1181</v>
      </c>
      <c r="B3" s="5"/>
      <c r="C3" s="5"/>
      <c r="D3" s="5"/>
      <c r="E3" s="5"/>
      <c r="F3" s="5"/>
      <c r="G3" s="5"/>
      <c r="H3" s="5"/>
      <c r="I3" s="5"/>
      <c r="J3" s="5"/>
      <c r="K3" s="5"/>
      <c r="L3" s="5"/>
      <c r="M3" s="5"/>
      <c r="N3" s="5"/>
      <c r="O3" s="5"/>
      <c r="P3" s="5"/>
      <c r="Q3" s="5"/>
      <c r="R3" s="5"/>
      <c r="S3" s="5"/>
      <c r="T3" s="5"/>
      <c r="U3" s="5"/>
      <c r="V3" s="5"/>
      <c r="W3" s="5"/>
      <c r="X3" s="5"/>
      <c r="Y3" s="5"/>
      <c r="Z3" s="3"/>
    </row>
    <row r="4" ht="14.25" customHeight="1">
      <c r="A4" s="7"/>
      <c r="B4" s="7"/>
      <c r="C4" s="7"/>
      <c r="D4" s="7"/>
      <c r="E4" s="7"/>
      <c r="F4" s="7"/>
      <c r="G4" s="7"/>
      <c r="H4" s="7"/>
      <c r="I4" s="7"/>
      <c r="J4" s="7"/>
      <c r="K4" s="7"/>
      <c r="L4" s="7"/>
      <c r="M4" s="7"/>
      <c r="N4" s="7"/>
      <c r="O4" s="7"/>
      <c r="P4" s="7"/>
      <c r="Q4" s="7"/>
      <c r="R4" s="7"/>
      <c r="S4" s="7"/>
      <c r="T4" s="7"/>
      <c r="U4" s="7"/>
      <c r="V4" s="7"/>
      <c r="W4" s="7"/>
      <c r="X4" s="7"/>
      <c r="Y4" s="7"/>
      <c r="Z4" s="8"/>
    </row>
    <row r="5" ht="14.25" customHeight="1">
      <c r="A5" s="1"/>
      <c r="B5" s="9" t="s">
        <v>3</v>
      </c>
      <c r="C5" s="9"/>
      <c r="D5" s="9"/>
      <c r="E5" s="10"/>
      <c r="F5" s="10"/>
      <c r="G5" s="10"/>
      <c r="H5" s="11" t="s">
        <v>4</v>
      </c>
      <c r="I5" s="12" t="s">
        <v>5</v>
      </c>
      <c r="J5" s="5"/>
      <c r="K5" s="5"/>
      <c r="L5" s="5"/>
      <c r="M5" s="3"/>
      <c r="N5" s="13"/>
      <c r="O5" s="13"/>
      <c r="P5" s="13"/>
      <c r="Q5" s="13"/>
      <c r="R5" s="13"/>
      <c r="S5" s="13"/>
      <c r="T5" s="13"/>
      <c r="U5" s="14"/>
      <c r="V5" s="14"/>
      <c r="W5" s="15"/>
      <c r="X5" s="16" t="s">
        <v>6</v>
      </c>
      <c r="Y5" s="16"/>
      <c r="Z5" s="17"/>
    </row>
    <row r="6" ht="14.25" customHeight="1">
      <c r="A6" s="1"/>
      <c r="B6" s="9" t="s">
        <v>7</v>
      </c>
      <c r="C6" s="9"/>
      <c r="D6" s="9"/>
      <c r="E6" s="10"/>
      <c r="F6" s="10"/>
      <c r="G6" s="10"/>
      <c r="H6" s="11" t="s">
        <v>4</v>
      </c>
      <c r="I6" s="12"/>
      <c r="J6" s="5"/>
      <c r="K6" s="5"/>
      <c r="L6" s="5"/>
      <c r="M6" s="3"/>
      <c r="N6" s="13"/>
      <c r="O6" s="13"/>
      <c r="P6" s="13"/>
      <c r="Q6" s="13"/>
      <c r="R6" s="13"/>
      <c r="S6" s="13"/>
      <c r="T6" s="13"/>
      <c r="U6" s="14"/>
      <c r="V6" s="14"/>
      <c r="W6" s="18"/>
      <c r="X6" s="16" t="s">
        <v>8</v>
      </c>
      <c r="Y6" s="16"/>
      <c r="Z6" s="17"/>
    </row>
    <row r="7" ht="14.25" customHeight="1">
      <c r="A7" s="1"/>
      <c r="B7" s="9" t="s">
        <v>9</v>
      </c>
      <c r="C7" s="9"/>
      <c r="D7" s="9"/>
      <c r="E7" s="10"/>
      <c r="F7" s="10"/>
      <c r="G7" s="10"/>
      <c r="H7" s="11" t="s">
        <v>4</v>
      </c>
      <c r="I7" s="12"/>
      <c r="J7" s="5"/>
      <c r="K7" s="5"/>
      <c r="L7" s="5"/>
      <c r="M7" s="3"/>
      <c r="N7" s="13"/>
      <c r="O7" s="13"/>
      <c r="P7" s="13"/>
      <c r="Q7" s="13"/>
      <c r="R7" s="13"/>
      <c r="S7" s="14"/>
      <c r="T7" s="14"/>
      <c r="U7" s="14"/>
      <c r="V7" s="1"/>
      <c r="W7" s="18"/>
      <c r="X7" s="16" t="s">
        <v>10</v>
      </c>
      <c r="Y7" s="16"/>
      <c r="Z7" s="17"/>
    </row>
    <row r="8" ht="14.25" customHeight="1">
      <c r="A8" s="1"/>
      <c r="B8" s="9" t="s">
        <v>11</v>
      </c>
      <c r="C8" s="9"/>
      <c r="D8" s="9"/>
      <c r="E8" s="10"/>
      <c r="F8" s="10"/>
      <c r="G8" s="10"/>
      <c r="H8" s="11" t="s">
        <v>4</v>
      </c>
      <c r="I8" s="12"/>
      <c r="J8" s="5"/>
      <c r="K8" s="5"/>
      <c r="L8" s="5"/>
      <c r="M8" s="3"/>
      <c r="N8" s="13"/>
      <c r="O8" s="13"/>
      <c r="P8" s="13"/>
      <c r="Q8" s="13"/>
      <c r="R8" s="13"/>
      <c r="S8" s="14"/>
      <c r="T8" s="14"/>
      <c r="U8" s="14"/>
      <c r="V8" s="1"/>
      <c r="W8" s="18"/>
      <c r="X8" s="16" t="s">
        <v>12</v>
      </c>
      <c r="Y8" s="16"/>
      <c r="Z8" s="17"/>
    </row>
    <row r="9" ht="14.25" customHeight="1">
      <c r="A9" s="1"/>
      <c r="B9" s="19"/>
      <c r="C9" s="5"/>
      <c r="D9" s="5"/>
      <c r="E9" s="3"/>
      <c r="F9" s="17"/>
      <c r="G9" s="17"/>
      <c r="H9" s="17"/>
      <c r="I9" s="17"/>
      <c r="J9" s="17"/>
      <c r="K9" s="1"/>
      <c r="L9" s="1"/>
      <c r="M9" s="1"/>
      <c r="N9" s="1"/>
      <c r="O9" s="1"/>
      <c r="P9" s="1"/>
      <c r="Q9" s="1"/>
      <c r="R9" s="1"/>
      <c r="S9" s="1"/>
      <c r="T9" s="1"/>
      <c r="U9" s="14"/>
      <c r="V9" s="1"/>
      <c r="W9" s="14"/>
      <c r="X9" s="1"/>
      <c r="Y9" s="17"/>
      <c r="Z9" s="1"/>
    </row>
    <row r="10" ht="15.75" customHeight="1">
      <c r="A10" s="1"/>
      <c r="B10" s="20" t="s">
        <v>13</v>
      </c>
      <c r="C10" s="21"/>
      <c r="D10" s="21"/>
      <c r="E10" s="21"/>
      <c r="F10" s="21"/>
      <c r="G10" s="21"/>
      <c r="H10" s="21"/>
      <c r="I10" s="21"/>
      <c r="J10" s="21"/>
      <c r="K10" s="21"/>
      <c r="L10" s="22"/>
      <c r="M10" s="23" t="s">
        <v>14</v>
      </c>
      <c r="N10" s="20" t="s">
        <v>15</v>
      </c>
      <c r="O10" s="21"/>
      <c r="P10" s="21"/>
      <c r="Q10" s="21"/>
      <c r="R10" s="22"/>
      <c r="S10" s="24" t="s">
        <v>16</v>
      </c>
      <c r="T10" s="21"/>
      <c r="U10" s="21"/>
      <c r="V10" s="21"/>
      <c r="W10" s="25"/>
      <c r="X10" s="20" t="s">
        <v>1182</v>
      </c>
      <c r="Y10" s="22"/>
      <c r="Z10" s="27" t="s">
        <v>18</v>
      </c>
    </row>
    <row r="11" ht="14.25" customHeight="1">
      <c r="A11" s="1"/>
      <c r="B11" s="28"/>
      <c r="L11" s="29"/>
      <c r="M11" s="30"/>
      <c r="N11" s="31"/>
      <c r="O11" s="32"/>
      <c r="P11" s="32"/>
      <c r="Q11" s="32"/>
      <c r="R11" s="33"/>
      <c r="S11" s="34"/>
      <c r="T11" s="35"/>
      <c r="U11" s="35"/>
      <c r="V11" s="35"/>
      <c r="W11" s="36"/>
      <c r="X11" s="28"/>
      <c r="Y11" s="29"/>
      <c r="Z11" s="38"/>
    </row>
    <row r="12" ht="15.75" customHeight="1">
      <c r="A12" s="1"/>
      <c r="B12" s="28"/>
      <c r="L12" s="29"/>
      <c r="M12" s="30"/>
      <c r="N12" s="39" t="s">
        <v>19</v>
      </c>
      <c r="O12" s="23" t="s">
        <v>20</v>
      </c>
      <c r="P12" s="39" t="s">
        <v>21</v>
      </c>
      <c r="Q12" s="23" t="s">
        <v>22</v>
      </c>
      <c r="R12" s="39" t="s">
        <v>23</v>
      </c>
      <c r="S12" s="23" t="s">
        <v>19</v>
      </c>
      <c r="T12" s="39" t="s">
        <v>20</v>
      </c>
      <c r="U12" s="23" t="s">
        <v>21</v>
      </c>
      <c r="V12" s="39" t="s">
        <v>22</v>
      </c>
      <c r="W12" s="23" t="s">
        <v>23</v>
      </c>
      <c r="X12" s="28"/>
      <c r="Y12" s="29"/>
      <c r="Z12" s="38"/>
    </row>
    <row r="13" ht="14.25" customHeight="1">
      <c r="A13" s="1"/>
      <c r="B13" s="28"/>
      <c r="L13" s="29"/>
      <c r="M13" s="30"/>
      <c r="N13" s="40"/>
      <c r="O13" s="30"/>
      <c r="P13" s="40"/>
      <c r="Q13" s="30"/>
      <c r="R13" s="40"/>
      <c r="S13" s="30"/>
      <c r="T13" s="40"/>
      <c r="U13" s="30"/>
      <c r="V13" s="40"/>
      <c r="W13" s="30"/>
      <c r="X13" s="28"/>
      <c r="Y13" s="29"/>
      <c r="Z13" s="38"/>
    </row>
    <row r="14" ht="14.25" customHeight="1">
      <c r="A14" s="1"/>
      <c r="B14" s="31"/>
      <c r="C14" s="32"/>
      <c r="D14" s="32"/>
      <c r="E14" s="32"/>
      <c r="F14" s="32"/>
      <c r="G14" s="32"/>
      <c r="H14" s="32"/>
      <c r="I14" s="32"/>
      <c r="J14" s="32"/>
      <c r="K14" s="32"/>
      <c r="L14" s="33"/>
      <c r="M14" s="41"/>
      <c r="N14" s="42"/>
      <c r="O14" s="41"/>
      <c r="P14" s="42"/>
      <c r="Q14" s="41"/>
      <c r="R14" s="42"/>
      <c r="S14" s="41"/>
      <c r="T14" s="42"/>
      <c r="U14" s="41"/>
      <c r="V14" s="42"/>
      <c r="W14" s="41"/>
      <c r="X14" s="31"/>
      <c r="Y14" s="33"/>
      <c r="Z14" s="44"/>
    </row>
    <row r="15" ht="14.25" customHeight="1">
      <c r="A15" s="1"/>
      <c r="B15" s="45">
        <v>1.0</v>
      </c>
      <c r="C15" s="5"/>
      <c r="D15" s="5"/>
      <c r="E15" s="5"/>
      <c r="F15" s="5"/>
      <c r="G15" s="5"/>
      <c r="H15" s="5"/>
      <c r="I15" s="5"/>
      <c r="J15" s="5"/>
      <c r="K15" s="5"/>
      <c r="L15" s="46"/>
      <c r="M15" s="47">
        <v>2.0</v>
      </c>
      <c r="N15" s="48">
        <v>3.0</v>
      </c>
      <c r="O15" s="47">
        <v>4.0</v>
      </c>
      <c r="P15" s="49">
        <v>5.0</v>
      </c>
      <c r="Q15" s="50">
        <v>6.0</v>
      </c>
      <c r="R15" s="51" t="s">
        <v>24</v>
      </c>
      <c r="S15" s="52">
        <v>8.0</v>
      </c>
      <c r="T15" s="51">
        <v>9.0</v>
      </c>
      <c r="U15" s="52">
        <v>10.0</v>
      </c>
      <c r="V15" s="51">
        <v>11.0</v>
      </c>
      <c r="W15" s="52" t="s">
        <v>25</v>
      </c>
      <c r="X15" s="543">
        <v>13.0</v>
      </c>
      <c r="Y15" s="544"/>
      <c r="Z15" s="54">
        <v>14.0</v>
      </c>
    </row>
    <row r="16" ht="14.25" customHeight="1">
      <c r="B16" s="55"/>
      <c r="L16" s="29"/>
      <c r="M16" s="56"/>
      <c r="N16" s="57"/>
      <c r="O16" s="56"/>
      <c r="P16" s="57"/>
      <c r="Q16" s="56"/>
      <c r="R16" s="57"/>
      <c r="S16" s="56"/>
      <c r="T16" s="57"/>
      <c r="U16" s="56"/>
      <c r="V16" s="57"/>
      <c r="W16" s="56"/>
      <c r="X16" s="545"/>
      <c r="Y16" s="224"/>
      <c r="Z16" s="59"/>
    </row>
    <row r="17" ht="14.25" customHeight="1">
      <c r="B17" s="60" t="s">
        <v>840</v>
      </c>
      <c r="L17" s="61"/>
      <c r="M17" s="62"/>
      <c r="N17" s="63"/>
      <c r="O17" s="62"/>
      <c r="P17" s="63"/>
      <c r="Q17" s="62"/>
      <c r="R17" s="63"/>
      <c r="S17" s="62"/>
      <c r="T17" s="63"/>
      <c r="U17" s="62"/>
      <c r="V17" s="63"/>
      <c r="W17" s="62"/>
      <c r="X17" s="117"/>
      <c r="Y17" s="173"/>
      <c r="Z17" s="65"/>
    </row>
    <row r="18" ht="14.25" customHeight="1">
      <c r="B18" s="113"/>
      <c r="L18" s="61"/>
      <c r="M18" s="62"/>
      <c r="N18" s="64"/>
      <c r="O18" s="68"/>
      <c r="P18" s="64"/>
      <c r="Q18" s="68"/>
      <c r="R18" s="64"/>
      <c r="S18" s="68"/>
      <c r="T18" s="64"/>
      <c r="U18" s="68"/>
      <c r="V18" s="64"/>
      <c r="W18" s="68"/>
      <c r="X18" s="117"/>
      <c r="Y18" s="173"/>
      <c r="Z18" s="65"/>
    </row>
    <row r="19" ht="15.0" customHeight="1">
      <c r="B19" s="69" t="s">
        <v>841</v>
      </c>
      <c r="C19" s="70"/>
      <c r="L19" s="61"/>
      <c r="M19" s="62"/>
      <c r="N19" s="71" t="s">
        <v>131</v>
      </c>
      <c r="O19" s="72" t="s">
        <v>131</v>
      </c>
      <c r="P19" s="71" t="s">
        <v>131</v>
      </c>
      <c r="Q19" s="72" t="s">
        <v>131</v>
      </c>
      <c r="R19" s="64">
        <f t="shared" ref="R19:R44" si="1">SUM(N19:Q19)</f>
        <v>0</v>
      </c>
      <c r="S19" s="72"/>
      <c r="T19" s="71">
        <v>10.0</v>
      </c>
      <c r="U19" s="72">
        <v>5.0</v>
      </c>
      <c r="V19" s="71">
        <v>1.0</v>
      </c>
      <c r="W19" s="68">
        <f>SUM(S19:V19)</f>
        <v>16</v>
      </c>
      <c r="X19" s="117"/>
      <c r="Y19" s="173"/>
      <c r="Z19" s="65"/>
    </row>
    <row r="20" ht="14.25" customHeight="1">
      <c r="B20" s="547"/>
      <c r="C20" s="75"/>
      <c r="L20" s="61"/>
      <c r="M20" s="62"/>
      <c r="N20" s="71"/>
      <c r="O20" s="72"/>
      <c r="P20" s="71"/>
      <c r="Q20" s="72"/>
      <c r="R20" s="64">
        <f t="shared" si="1"/>
        <v>0</v>
      </c>
      <c r="S20" s="72"/>
      <c r="T20" s="71"/>
      <c r="U20" s="72"/>
      <c r="V20" s="71"/>
      <c r="W20" s="68"/>
      <c r="X20" s="117"/>
      <c r="Y20" s="173"/>
      <c r="Z20" s="65"/>
    </row>
    <row r="21" ht="15.0" customHeight="1">
      <c r="B21" s="69" t="s">
        <v>842</v>
      </c>
      <c r="C21" s="70"/>
      <c r="L21" s="61"/>
      <c r="M21" s="62"/>
      <c r="N21" s="71"/>
      <c r="O21" s="72"/>
      <c r="P21" s="71"/>
      <c r="Q21" s="72"/>
      <c r="R21" s="64">
        <f t="shared" si="1"/>
        <v>0</v>
      </c>
      <c r="S21" s="72"/>
      <c r="T21" s="71"/>
      <c r="U21" s="72"/>
      <c r="V21" s="71"/>
      <c r="W21" s="68"/>
      <c r="X21" s="117"/>
      <c r="Y21" s="173"/>
      <c r="Z21" s="65"/>
    </row>
    <row r="22" ht="14.25" customHeight="1">
      <c r="B22" s="547"/>
      <c r="C22" s="75"/>
      <c r="L22" s="61"/>
      <c r="M22" s="62"/>
      <c r="N22" s="71"/>
      <c r="O22" s="72"/>
      <c r="P22" s="71"/>
      <c r="Q22" s="72"/>
      <c r="R22" s="64">
        <f t="shared" si="1"/>
        <v>0</v>
      </c>
      <c r="S22" s="72"/>
      <c r="T22" s="71"/>
      <c r="U22" s="72"/>
      <c r="V22" s="71"/>
      <c r="W22" s="68"/>
      <c r="X22" s="117"/>
      <c r="Y22" s="173"/>
      <c r="Z22" s="65"/>
    </row>
    <row r="23" ht="14.25" customHeight="1">
      <c r="B23" s="69" t="s">
        <v>843</v>
      </c>
      <c r="C23" s="77"/>
      <c r="L23" s="61"/>
      <c r="M23" s="62"/>
      <c r="N23" s="79"/>
      <c r="O23" s="80"/>
      <c r="P23" s="79">
        <v>1.0</v>
      </c>
      <c r="Q23" s="80"/>
      <c r="R23" s="83">
        <f t="shared" si="1"/>
        <v>1</v>
      </c>
      <c r="S23" s="80"/>
      <c r="T23" s="79"/>
      <c r="U23" s="80"/>
      <c r="V23" s="79">
        <v>1.0</v>
      </c>
      <c r="W23" s="119">
        <f>SUM(S23:V23)</f>
        <v>1</v>
      </c>
      <c r="X23" s="117"/>
      <c r="Y23" s="173"/>
      <c r="Z23" s="65"/>
    </row>
    <row r="24" ht="14.25" customHeight="1">
      <c r="B24" s="84"/>
      <c r="C24" s="548"/>
      <c r="L24" s="61"/>
      <c r="M24" s="62"/>
      <c r="N24" s="85"/>
      <c r="O24" s="86"/>
      <c r="P24" s="85"/>
      <c r="Q24" s="86"/>
      <c r="R24" s="83">
        <f t="shared" si="1"/>
        <v>0</v>
      </c>
      <c r="S24" s="86"/>
      <c r="T24" s="85"/>
      <c r="U24" s="86"/>
      <c r="V24" s="85"/>
      <c r="W24" s="68"/>
      <c r="X24" s="117"/>
      <c r="Y24" s="173"/>
      <c r="Z24" s="65"/>
    </row>
    <row r="25" ht="14.25" customHeight="1">
      <c r="B25" s="69" t="s">
        <v>844</v>
      </c>
      <c r="C25" s="70"/>
      <c r="L25" s="61"/>
      <c r="M25" s="62"/>
      <c r="N25" s="79"/>
      <c r="O25" s="80"/>
      <c r="P25" s="79"/>
      <c r="Q25" s="80"/>
      <c r="R25" s="83">
        <f t="shared" si="1"/>
        <v>0</v>
      </c>
      <c r="S25" s="80"/>
      <c r="T25" s="79"/>
      <c r="U25" s="80"/>
      <c r="V25" s="79"/>
      <c r="W25" s="68"/>
      <c r="X25" s="117"/>
      <c r="Y25" s="173"/>
      <c r="Z25" s="65"/>
    </row>
    <row r="26" ht="14.25" customHeight="1">
      <c r="B26" s="549" t="s">
        <v>845</v>
      </c>
      <c r="C26" s="70" t="s">
        <v>846</v>
      </c>
      <c r="L26" s="61"/>
      <c r="M26" s="62"/>
      <c r="N26" s="85"/>
      <c r="O26" s="86"/>
      <c r="P26" s="85"/>
      <c r="Q26" s="86"/>
      <c r="R26" s="83">
        <f t="shared" si="1"/>
        <v>0</v>
      </c>
      <c r="S26" s="86"/>
      <c r="T26" s="85">
        <v>2.0</v>
      </c>
      <c r="U26" s="86"/>
      <c r="V26" s="85"/>
      <c r="W26" s="119">
        <f t="shared" ref="W26:W27" si="2">SUM(S26:V26)</f>
        <v>2</v>
      </c>
      <c r="X26" s="117"/>
      <c r="Y26" s="173"/>
      <c r="Z26" s="65"/>
    </row>
    <row r="27" ht="14.25" customHeight="1">
      <c r="B27" s="550" t="s">
        <v>847</v>
      </c>
      <c r="C27" s="70" t="s">
        <v>848</v>
      </c>
      <c r="L27" s="61"/>
      <c r="M27" s="62"/>
      <c r="N27" s="85"/>
      <c r="O27" s="86"/>
      <c r="P27" s="85"/>
      <c r="Q27" s="86"/>
      <c r="R27" s="83">
        <f t="shared" si="1"/>
        <v>0</v>
      </c>
      <c r="S27" s="86"/>
      <c r="T27" s="85"/>
      <c r="U27" s="86">
        <v>1.0</v>
      </c>
      <c r="V27" s="85"/>
      <c r="W27" s="119">
        <f t="shared" si="2"/>
        <v>1</v>
      </c>
      <c r="X27" s="117"/>
      <c r="Y27" s="173"/>
      <c r="Z27" s="65"/>
    </row>
    <row r="28" ht="14.25" customHeight="1">
      <c r="B28" s="550" t="s">
        <v>849</v>
      </c>
      <c r="C28" s="70" t="s">
        <v>850</v>
      </c>
      <c r="L28" s="61"/>
      <c r="M28" s="62"/>
      <c r="N28" s="85"/>
      <c r="O28" s="86"/>
      <c r="P28" s="85"/>
      <c r="Q28" s="86"/>
      <c r="R28" s="83">
        <f t="shared" si="1"/>
        <v>0</v>
      </c>
      <c r="S28" s="86"/>
      <c r="T28" s="85"/>
      <c r="U28" s="86"/>
      <c r="V28" s="85"/>
      <c r="W28" s="68"/>
      <c r="X28" s="117"/>
      <c r="Y28" s="173"/>
      <c r="Z28" s="65"/>
    </row>
    <row r="29" ht="14.25" customHeight="1">
      <c r="B29" s="550"/>
      <c r="C29" s="70"/>
      <c r="L29" s="61"/>
      <c r="M29" s="62"/>
      <c r="N29" s="85"/>
      <c r="O29" s="86"/>
      <c r="P29" s="85"/>
      <c r="Q29" s="86"/>
      <c r="R29" s="83">
        <f t="shared" si="1"/>
        <v>0</v>
      </c>
      <c r="S29" s="86"/>
      <c r="T29" s="85"/>
      <c r="U29" s="86"/>
      <c r="V29" s="85"/>
      <c r="W29" s="68"/>
      <c r="X29" s="117"/>
      <c r="Y29" s="173"/>
      <c r="Z29" s="65"/>
    </row>
    <row r="30" ht="14.25" customHeight="1">
      <c r="B30" s="550" t="s">
        <v>851</v>
      </c>
      <c r="C30" s="70"/>
      <c r="L30" s="61"/>
      <c r="M30" s="62"/>
      <c r="N30" s="85"/>
      <c r="O30" s="86"/>
      <c r="P30" s="85"/>
      <c r="Q30" s="86"/>
      <c r="R30" s="83">
        <f t="shared" si="1"/>
        <v>0</v>
      </c>
      <c r="S30" s="86"/>
      <c r="T30" s="85">
        <v>4.0</v>
      </c>
      <c r="U30" s="86">
        <v>3.0</v>
      </c>
      <c r="V30" s="85">
        <v>1.0</v>
      </c>
      <c r="W30" s="119">
        <f>SUM(S30:V30)</f>
        <v>8</v>
      </c>
      <c r="X30" s="117"/>
      <c r="Y30" s="173"/>
      <c r="Z30" s="65"/>
    </row>
    <row r="31" ht="14.25" customHeight="1">
      <c r="B31" s="113"/>
      <c r="L31" s="61"/>
      <c r="M31" s="62"/>
      <c r="N31" s="64"/>
      <c r="O31" s="68"/>
      <c r="P31" s="64"/>
      <c r="Q31" s="68"/>
      <c r="R31" s="64">
        <f t="shared" si="1"/>
        <v>0</v>
      </c>
      <c r="S31" s="68"/>
      <c r="T31" s="64"/>
      <c r="U31" s="68"/>
      <c r="V31" s="64"/>
      <c r="W31" s="68"/>
      <c r="X31" s="117"/>
      <c r="Y31" s="173"/>
      <c r="Z31" s="65"/>
    </row>
    <row r="32" ht="14.25" customHeight="1">
      <c r="B32" s="60" t="s">
        <v>852</v>
      </c>
      <c r="L32" s="61"/>
      <c r="M32" s="62"/>
      <c r="N32" s="64"/>
      <c r="O32" s="68"/>
      <c r="P32" s="64"/>
      <c r="Q32" s="68"/>
      <c r="R32" s="64">
        <f t="shared" si="1"/>
        <v>0</v>
      </c>
      <c r="S32" s="68"/>
      <c r="T32" s="64"/>
      <c r="U32" s="68"/>
      <c r="V32" s="64"/>
      <c r="W32" s="68"/>
      <c r="X32" s="117"/>
      <c r="Y32" s="173"/>
      <c r="Z32" s="65"/>
    </row>
    <row r="33" ht="14.25" customHeight="1">
      <c r="B33" s="113"/>
      <c r="L33" s="61"/>
      <c r="M33" s="62"/>
      <c r="N33" s="64"/>
      <c r="O33" s="68"/>
      <c r="P33" s="64"/>
      <c r="Q33" s="68"/>
      <c r="R33" s="64">
        <f t="shared" si="1"/>
        <v>0</v>
      </c>
      <c r="S33" s="68"/>
      <c r="T33" s="64"/>
      <c r="U33" s="68"/>
      <c r="V33" s="64"/>
      <c r="W33" s="68"/>
      <c r="X33" s="117"/>
      <c r="Y33" s="173"/>
      <c r="Z33" s="65"/>
    </row>
    <row r="34" ht="14.25" customHeight="1">
      <c r="B34" s="69" t="s">
        <v>1183</v>
      </c>
      <c r="C34" s="70"/>
      <c r="L34" s="61"/>
      <c r="M34" s="62"/>
      <c r="N34" s="85"/>
      <c r="O34" s="68"/>
      <c r="P34" s="85"/>
      <c r="Q34" s="86"/>
      <c r="R34" s="83">
        <f t="shared" si="1"/>
        <v>0</v>
      </c>
      <c r="S34" s="86"/>
      <c r="T34" s="85">
        <v>1.0</v>
      </c>
      <c r="U34" s="86">
        <v>3.0</v>
      </c>
      <c r="V34" s="85"/>
      <c r="W34" s="119">
        <f>SUM(S34:V34)</f>
        <v>4</v>
      </c>
      <c r="X34" s="117"/>
      <c r="Y34" s="173"/>
      <c r="Z34" s="65"/>
    </row>
    <row r="35" ht="14.25" customHeight="1">
      <c r="B35" s="100"/>
      <c r="C35" s="70"/>
      <c r="L35" s="61"/>
      <c r="M35" s="62"/>
      <c r="N35" s="85"/>
      <c r="O35" s="68"/>
      <c r="P35" s="85"/>
      <c r="Q35" s="86"/>
      <c r="R35" s="83">
        <f t="shared" si="1"/>
        <v>0</v>
      </c>
      <c r="S35" s="86"/>
      <c r="T35" s="85"/>
      <c r="U35" s="86"/>
      <c r="V35" s="85"/>
      <c r="W35" s="68"/>
      <c r="X35" s="117"/>
      <c r="Y35" s="173"/>
      <c r="Z35" s="65"/>
    </row>
    <row r="36" ht="14.25" customHeight="1">
      <c r="B36" s="69" t="s">
        <v>1184</v>
      </c>
      <c r="C36" s="70"/>
      <c r="L36" s="61"/>
      <c r="M36" s="62"/>
      <c r="N36" s="79"/>
      <c r="O36" s="68"/>
      <c r="P36" s="79"/>
      <c r="Q36" s="80"/>
      <c r="R36" s="83">
        <f t="shared" si="1"/>
        <v>0</v>
      </c>
      <c r="S36" s="80"/>
      <c r="T36" s="79"/>
      <c r="U36" s="80"/>
      <c r="V36" s="79"/>
      <c r="W36" s="68"/>
      <c r="X36" s="117"/>
      <c r="Y36" s="173"/>
      <c r="Z36" s="65"/>
    </row>
    <row r="37" ht="14.25" customHeight="1">
      <c r="B37" s="100" t="s">
        <v>845</v>
      </c>
      <c r="C37" s="126" t="s">
        <v>855</v>
      </c>
      <c r="L37" s="61"/>
      <c r="M37" s="62"/>
      <c r="N37" s="85"/>
      <c r="O37" s="68"/>
      <c r="P37" s="85"/>
      <c r="Q37" s="86"/>
      <c r="R37" s="83">
        <f t="shared" si="1"/>
        <v>0</v>
      </c>
      <c r="S37" s="86"/>
      <c r="T37" s="85"/>
      <c r="U37" s="86"/>
      <c r="V37" s="85"/>
      <c r="W37" s="68"/>
      <c r="X37" s="117"/>
      <c r="Y37" s="173"/>
      <c r="Z37" s="65"/>
    </row>
    <row r="38" ht="14.25" customHeight="1">
      <c r="B38" s="100" t="s">
        <v>847</v>
      </c>
      <c r="C38" s="77" t="s">
        <v>856</v>
      </c>
      <c r="L38" s="61"/>
      <c r="M38" s="62"/>
      <c r="N38" s="85"/>
      <c r="O38" s="68"/>
      <c r="P38" s="85"/>
      <c r="Q38" s="86"/>
      <c r="R38" s="83">
        <f t="shared" si="1"/>
        <v>0</v>
      </c>
      <c r="S38" s="86"/>
      <c r="T38" s="85">
        <v>4.0</v>
      </c>
      <c r="U38" s="86">
        <v>5.0</v>
      </c>
      <c r="V38" s="85">
        <v>5.0</v>
      </c>
      <c r="W38" s="119">
        <f>SUM(S38:V38)</f>
        <v>14</v>
      </c>
      <c r="X38" s="117"/>
      <c r="Y38" s="173"/>
      <c r="Z38" s="65"/>
    </row>
    <row r="39" ht="14.25" customHeight="1">
      <c r="B39" s="100" t="s">
        <v>849</v>
      </c>
      <c r="C39" s="77" t="s">
        <v>857</v>
      </c>
      <c r="L39" s="61"/>
      <c r="M39" s="62"/>
      <c r="N39" s="85"/>
      <c r="O39" s="68"/>
      <c r="P39" s="85"/>
      <c r="Q39" s="86"/>
      <c r="R39" s="83">
        <f t="shared" si="1"/>
        <v>0</v>
      </c>
      <c r="S39" s="551"/>
      <c r="T39" s="552"/>
      <c r="U39" s="551"/>
      <c r="V39" s="552"/>
      <c r="W39" s="62"/>
      <c r="X39" s="117"/>
      <c r="Y39" s="173"/>
      <c r="Z39" s="65"/>
    </row>
    <row r="40" ht="14.25" customHeight="1">
      <c r="B40" s="100" t="s">
        <v>858</v>
      </c>
      <c r="C40" s="126" t="s">
        <v>859</v>
      </c>
      <c r="L40" s="61"/>
      <c r="M40" s="62"/>
      <c r="N40" s="85"/>
      <c r="O40" s="68"/>
      <c r="P40" s="85"/>
      <c r="Q40" s="86"/>
      <c r="R40" s="83">
        <f t="shared" si="1"/>
        <v>0</v>
      </c>
      <c r="S40" s="551"/>
      <c r="T40" s="552"/>
      <c r="U40" s="551"/>
      <c r="V40" s="552"/>
      <c r="W40" s="62"/>
      <c r="X40" s="117"/>
      <c r="Y40" s="173"/>
      <c r="Z40" s="65"/>
    </row>
    <row r="41" ht="14.25" customHeight="1">
      <c r="B41" s="100" t="s">
        <v>860</v>
      </c>
      <c r="C41" s="126" t="s">
        <v>861</v>
      </c>
      <c r="L41" s="61"/>
      <c r="M41" s="62"/>
      <c r="N41" s="85"/>
      <c r="O41" s="68"/>
      <c r="P41" s="85"/>
      <c r="Q41" s="86"/>
      <c r="R41" s="83">
        <f t="shared" si="1"/>
        <v>0</v>
      </c>
      <c r="S41" s="551"/>
      <c r="T41" s="552"/>
      <c r="U41" s="551"/>
      <c r="V41" s="552"/>
      <c r="W41" s="119">
        <f>SUM(S41:V41)</f>
        <v>0</v>
      </c>
      <c r="X41" s="117"/>
      <c r="Y41" s="173"/>
      <c r="Z41" s="65"/>
    </row>
    <row r="42" ht="14.25" customHeight="1">
      <c r="B42" s="113"/>
      <c r="L42" s="61"/>
      <c r="M42" s="62"/>
      <c r="N42" s="64"/>
      <c r="O42" s="68"/>
      <c r="P42" s="64"/>
      <c r="Q42" s="68"/>
      <c r="R42" s="64">
        <f t="shared" si="1"/>
        <v>0</v>
      </c>
      <c r="S42" s="62"/>
      <c r="T42" s="63"/>
      <c r="U42" s="62"/>
      <c r="V42" s="63"/>
      <c r="W42" s="62"/>
      <c r="X42" s="117"/>
      <c r="Y42" s="173"/>
      <c r="Z42" s="65"/>
    </row>
    <row r="43" ht="14.25" customHeight="1">
      <c r="B43" s="60" t="s">
        <v>1185</v>
      </c>
      <c r="L43" s="61"/>
      <c r="M43" s="62"/>
      <c r="N43" s="64"/>
      <c r="O43" s="68"/>
      <c r="P43" s="64"/>
      <c r="Q43" s="68"/>
      <c r="R43" s="64">
        <f t="shared" si="1"/>
        <v>0</v>
      </c>
      <c r="S43" s="62"/>
      <c r="T43" s="63"/>
      <c r="U43" s="62"/>
      <c r="V43" s="63"/>
      <c r="W43" s="62"/>
      <c r="X43" s="117"/>
      <c r="Y43" s="173"/>
      <c r="Z43" s="65"/>
    </row>
    <row r="44" ht="14.25" customHeight="1">
      <c r="B44" s="113"/>
      <c r="L44" s="61"/>
      <c r="M44" s="62"/>
      <c r="N44" s="64"/>
      <c r="O44" s="68"/>
      <c r="P44" s="64"/>
      <c r="Q44" s="68"/>
      <c r="R44" s="64">
        <f t="shared" si="1"/>
        <v>0</v>
      </c>
      <c r="S44" s="62"/>
      <c r="T44" s="63"/>
      <c r="U44" s="62"/>
      <c r="V44" s="63"/>
      <c r="W44" s="62"/>
      <c r="X44" s="117"/>
      <c r="Y44" s="173"/>
      <c r="Z44" s="65"/>
    </row>
    <row r="45" ht="14.25" customHeight="1">
      <c r="B45" s="148" t="s">
        <v>864</v>
      </c>
      <c r="C45" s="144" t="s">
        <v>865</v>
      </c>
      <c r="D45" s="143"/>
      <c r="E45" s="143"/>
      <c r="L45" s="61"/>
      <c r="M45" s="62"/>
      <c r="N45" s="63"/>
      <c r="O45" s="62"/>
      <c r="P45" s="63"/>
      <c r="Q45" s="62"/>
      <c r="R45" s="149"/>
      <c r="S45" s="553"/>
      <c r="T45" s="524"/>
      <c r="U45" s="553"/>
      <c r="V45" s="524"/>
      <c r="W45" s="68">
        <f t="shared" ref="W45:W98" si="3">SUM(S45:V45)</f>
        <v>0</v>
      </c>
      <c r="X45" s="117"/>
      <c r="Y45" s="173"/>
      <c r="Z45" s="65"/>
    </row>
    <row r="46" ht="14.25" customHeight="1">
      <c r="B46" s="148"/>
      <c r="C46" s="214" t="s">
        <v>866</v>
      </c>
      <c r="D46" s="144" t="s">
        <v>867</v>
      </c>
      <c r="E46" s="144"/>
      <c r="L46" s="61"/>
      <c r="M46" s="62"/>
      <c r="N46" s="63"/>
      <c r="O46" s="62"/>
      <c r="P46" s="63"/>
      <c r="Q46" s="62"/>
      <c r="R46" s="149"/>
      <c r="S46" s="553">
        <v>69.0</v>
      </c>
      <c r="T46" s="524">
        <v>17.0</v>
      </c>
      <c r="U46" s="553">
        <v>71.0</v>
      </c>
      <c r="V46" s="524">
        <v>23.0</v>
      </c>
      <c r="W46" s="68">
        <f t="shared" si="3"/>
        <v>180</v>
      </c>
      <c r="X46" s="117"/>
      <c r="Y46" s="173"/>
      <c r="Z46" s="65"/>
    </row>
    <row r="47" ht="14.25" customHeight="1">
      <c r="B47" s="148"/>
      <c r="C47" s="70"/>
      <c r="D47" s="77" t="s">
        <v>868</v>
      </c>
      <c r="E47" s="70"/>
      <c r="L47" s="61"/>
      <c r="M47" s="62"/>
      <c r="N47" s="63"/>
      <c r="O47" s="62"/>
      <c r="P47" s="63"/>
      <c r="Q47" s="62"/>
      <c r="R47" s="149"/>
      <c r="S47" s="68">
        <v>0.0</v>
      </c>
      <c r="T47" s="64">
        <v>0.0</v>
      </c>
      <c r="U47" s="68">
        <v>1.0</v>
      </c>
      <c r="V47" s="64">
        <v>0.0</v>
      </c>
      <c r="W47" s="68">
        <f t="shared" si="3"/>
        <v>1</v>
      </c>
      <c r="X47" s="117"/>
      <c r="Y47" s="173"/>
      <c r="Z47" s="65"/>
    </row>
    <row r="48" ht="14.25" customHeight="1">
      <c r="B48" s="148"/>
      <c r="C48" s="70"/>
      <c r="D48" s="77" t="s">
        <v>869</v>
      </c>
      <c r="E48" s="70"/>
      <c r="L48" s="61"/>
      <c r="M48" s="62"/>
      <c r="N48" s="63"/>
      <c r="O48" s="62"/>
      <c r="P48" s="63"/>
      <c r="Q48" s="62"/>
      <c r="R48" s="149"/>
      <c r="S48" s="68">
        <v>7.0</v>
      </c>
      <c r="T48" s="64">
        <v>5.0</v>
      </c>
      <c r="U48" s="68">
        <v>3.0</v>
      </c>
      <c r="V48" s="64">
        <v>2.0</v>
      </c>
      <c r="W48" s="68">
        <f t="shared" si="3"/>
        <v>17</v>
      </c>
      <c r="X48" s="117"/>
      <c r="Y48" s="173"/>
      <c r="Z48" s="65"/>
    </row>
    <row r="49" ht="14.25" customHeight="1">
      <c r="B49" s="148"/>
      <c r="C49" s="70"/>
      <c r="D49" s="77" t="s">
        <v>870</v>
      </c>
      <c r="E49" s="70"/>
      <c r="L49" s="61"/>
      <c r="M49" s="62"/>
      <c r="N49" s="63"/>
      <c r="O49" s="62"/>
      <c r="P49" s="63"/>
      <c r="Q49" s="62"/>
      <c r="R49" s="149"/>
      <c r="S49" s="68">
        <v>13.0</v>
      </c>
      <c r="T49" s="64">
        <v>6.0</v>
      </c>
      <c r="U49" s="68">
        <v>8.0</v>
      </c>
      <c r="V49" s="64">
        <v>5.0</v>
      </c>
      <c r="W49" s="68">
        <f t="shared" si="3"/>
        <v>32</v>
      </c>
      <c r="X49" s="117"/>
      <c r="Y49" s="173"/>
      <c r="Z49" s="65"/>
    </row>
    <row r="50" ht="14.25" customHeight="1">
      <c r="B50" s="148"/>
      <c r="C50" s="70"/>
      <c r="D50" s="77" t="s">
        <v>871</v>
      </c>
      <c r="E50" s="70"/>
      <c r="L50" s="61"/>
      <c r="M50" s="62"/>
      <c r="N50" s="63"/>
      <c r="O50" s="62"/>
      <c r="P50" s="63"/>
      <c r="Q50" s="62"/>
      <c r="R50" s="149"/>
      <c r="S50" s="68">
        <v>17.0</v>
      </c>
      <c r="T50" s="64">
        <v>6.0</v>
      </c>
      <c r="U50" s="68">
        <v>21.0</v>
      </c>
      <c r="V50" s="64">
        <v>8.0</v>
      </c>
      <c r="W50" s="68">
        <f t="shared" si="3"/>
        <v>52</v>
      </c>
      <c r="X50" s="117"/>
      <c r="Y50" s="173"/>
      <c r="Z50" s="65"/>
    </row>
    <row r="51" ht="14.25" customHeight="1">
      <c r="B51" s="148"/>
      <c r="C51" s="70"/>
      <c r="D51" s="77" t="s">
        <v>872</v>
      </c>
      <c r="E51" s="70"/>
      <c r="L51" s="61"/>
      <c r="M51" s="62"/>
      <c r="N51" s="63"/>
      <c r="O51" s="62"/>
      <c r="P51" s="63"/>
      <c r="Q51" s="62"/>
      <c r="R51" s="149"/>
      <c r="S51" s="68">
        <v>32.0</v>
      </c>
      <c r="T51" s="64">
        <v>0.0</v>
      </c>
      <c r="U51" s="68">
        <v>36.0</v>
      </c>
      <c r="V51" s="64">
        <v>8.0</v>
      </c>
      <c r="W51" s="68">
        <f t="shared" si="3"/>
        <v>76</v>
      </c>
      <c r="X51" s="117"/>
      <c r="Y51" s="173"/>
      <c r="Z51" s="65"/>
    </row>
    <row r="52" ht="14.25" customHeight="1">
      <c r="B52" s="148"/>
      <c r="C52" s="70"/>
      <c r="D52" s="77" t="s">
        <v>873</v>
      </c>
      <c r="E52" s="70"/>
      <c r="L52" s="61"/>
      <c r="M52" s="62"/>
      <c r="N52" s="63"/>
      <c r="O52" s="62"/>
      <c r="P52" s="63"/>
      <c r="Q52" s="62"/>
      <c r="R52" s="149"/>
      <c r="S52" s="68">
        <v>0.0</v>
      </c>
      <c r="T52" s="64">
        <v>0.0</v>
      </c>
      <c r="U52" s="68">
        <v>2.0</v>
      </c>
      <c r="V52" s="64">
        <v>0.0</v>
      </c>
      <c r="W52" s="68">
        <f t="shared" si="3"/>
        <v>2</v>
      </c>
      <c r="X52" s="117"/>
      <c r="Y52" s="173"/>
      <c r="Z52" s="65"/>
    </row>
    <row r="53" ht="14.25" customHeight="1">
      <c r="B53" s="148"/>
      <c r="C53" s="144"/>
      <c r="D53" s="144" t="s">
        <v>874</v>
      </c>
      <c r="L53" s="61"/>
      <c r="M53" s="62"/>
      <c r="N53" s="63"/>
      <c r="O53" s="62"/>
      <c r="P53" s="63"/>
      <c r="Q53" s="62"/>
      <c r="R53" s="149"/>
      <c r="S53" s="68">
        <v>7.0</v>
      </c>
      <c r="T53" s="64">
        <v>11.0</v>
      </c>
      <c r="U53" s="68">
        <v>1.0</v>
      </c>
      <c r="V53" s="64">
        <v>10.0</v>
      </c>
      <c r="W53" s="68">
        <f t="shared" si="3"/>
        <v>29</v>
      </c>
      <c r="X53" s="117"/>
      <c r="Y53" s="173"/>
      <c r="Z53" s="65"/>
    </row>
    <row r="54" ht="14.25" customHeight="1">
      <c r="B54" s="148"/>
      <c r="C54" s="144"/>
      <c r="D54" s="144" t="s">
        <v>875</v>
      </c>
      <c r="L54" s="61"/>
      <c r="M54" s="62"/>
      <c r="N54" s="63"/>
      <c r="O54" s="62"/>
      <c r="P54" s="63"/>
      <c r="Q54" s="62"/>
      <c r="R54" s="149"/>
      <c r="S54" s="68">
        <v>20.0</v>
      </c>
      <c r="T54" s="64">
        <v>3.0</v>
      </c>
      <c r="U54" s="68">
        <v>4.0</v>
      </c>
      <c r="V54" s="64">
        <v>0.0</v>
      </c>
      <c r="W54" s="68">
        <f t="shared" si="3"/>
        <v>27</v>
      </c>
      <c r="X54" s="117"/>
      <c r="Y54" s="173"/>
      <c r="Z54" s="65"/>
    </row>
    <row r="55" ht="14.25" customHeight="1">
      <c r="B55" s="148" t="s">
        <v>403</v>
      </c>
      <c r="C55" s="144"/>
      <c r="D55" s="144" t="s">
        <v>876</v>
      </c>
      <c r="L55" s="61"/>
      <c r="M55" s="62"/>
      <c r="N55" s="63"/>
      <c r="O55" s="62"/>
      <c r="P55" s="63"/>
      <c r="Q55" s="62"/>
      <c r="R55" s="149"/>
      <c r="S55" s="68">
        <v>4.0</v>
      </c>
      <c r="T55" s="64">
        <v>2.0</v>
      </c>
      <c r="U55" s="68">
        <v>0.0</v>
      </c>
      <c r="V55" s="64">
        <v>0.0</v>
      </c>
      <c r="W55" s="68">
        <f t="shared" si="3"/>
        <v>6</v>
      </c>
      <c r="X55" s="117"/>
      <c r="Y55" s="173"/>
      <c r="Z55" s="65"/>
    </row>
    <row r="56" ht="14.25" customHeight="1">
      <c r="B56" s="148" t="s">
        <v>403</v>
      </c>
      <c r="C56" s="144"/>
      <c r="D56" s="144" t="s">
        <v>877</v>
      </c>
      <c r="L56" s="61"/>
      <c r="M56" s="62"/>
      <c r="N56" s="63"/>
      <c r="O56" s="62"/>
      <c r="P56" s="63"/>
      <c r="Q56" s="62"/>
      <c r="R56" s="149"/>
      <c r="S56" s="553">
        <v>17.0</v>
      </c>
      <c r="T56" s="524">
        <v>0.0</v>
      </c>
      <c r="U56" s="553">
        <v>39.0</v>
      </c>
      <c r="V56" s="524">
        <v>10.0</v>
      </c>
      <c r="W56" s="68">
        <f t="shared" si="3"/>
        <v>66</v>
      </c>
      <c r="X56" s="117"/>
      <c r="Y56" s="173"/>
      <c r="Z56" s="65"/>
    </row>
    <row r="57" ht="14.25" customHeight="1">
      <c r="B57" s="148"/>
      <c r="C57" s="144"/>
      <c r="D57" s="154" t="s">
        <v>878</v>
      </c>
      <c r="L57" s="61"/>
      <c r="M57" s="62"/>
      <c r="N57" s="63"/>
      <c r="O57" s="62"/>
      <c r="P57" s="63"/>
      <c r="Q57" s="62"/>
      <c r="R57" s="149"/>
      <c r="S57" s="68">
        <v>14.0</v>
      </c>
      <c r="T57" s="64">
        <v>0.0</v>
      </c>
      <c r="U57" s="68">
        <v>38.0</v>
      </c>
      <c r="V57" s="64">
        <v>7.0</v>
      </c>
      <c r="W57" s="68">
        <f t="shared" si="3"/>
        <v>59</v>
      </c>
      <c r="X57" s="117"/>
      <c r="Y57" s="173"/>
      <c r="Z57" s="65"/>
    </row>
    <row r="58" ht="14.25" customHeight="1">
      <c r="B58" s="148"/>
      <c r="C58" s="144"/>
      <c r="D58" s="154" t="s">
        <v>879</v>
      </c>
      <c r="L58" s="61"/>
      <c r="M58" s="62"/>
      <c r="N58" s="63"/>
      <c r="O58" s="62"/>
      <c r="P58" s="63"/>
      <c r="Q58" s="62"/>
      <c r="R58" s="149"/>
      <c r="S58" s="68">
        <v>3.0</v>
      </c>
      <c r="T58" s="64">
        <v>0.0</v>
      </c>
      <c r="U58" s="68">
        <v>1.0</v>
      </c>
      <c r="V58" s="64">
        <v>3.0</v>
      </c>
      <c r="W58" s="68">
        <f t="shared" si="3"/>
        <v>7</v>
      </c>
      <c r="X58" s="117"/>
      <c r="Y58" s="173"/>
      <c r="Z58" s="65"/>
    </row>
    <row r="59" ht="14.25" customHeight="1">
      <c r="B59" s="148"/>
      <c r="C59" s="144"/>
      <c r="D59" s="154" t="s">
        <v>880</v>
      </c>
      <c r="L59" s="61"/>
      <c r="M59" s="62"/>
      <c r="N59" s="63"/>
      <c r="O59" s="62"/>
      <c r="P59" s="63"/>
      <c r="Q59" s="62"/>
      <c r="R59" s="149"/>
      <c r="S59" s="68">
        <v>0.0</v>
      </c>
      <c r="T59" s="64">
        <v>0.0</v>
      </c>
      <c r="U59" s="68">
        <v>0.0</v>
      </c>
      <c r="V59" s="64">
        <v>0.0</v>
      </c>
      <c r="W59" s="68">
        <f t="shared" si="3"/>
        <v>0</v>
      </c>
      <c r="X59" s="117"/>
      <c r="Y59" s="173"/>
      <c r="Z59" s="65"/>
    </row>
    <row r="60" ht="14.25" customHeight="1">
      <c r="B60" s="148"/>
      <c r="C60" s="144"/>
      <c r="D60" s="144" t="s">
        <v>881</v>
      </c>
      <c r="L60" s="61"/>
      <c r="M60" s="62"/>
      <c r="N60" s="63"/>
      <c r="O60" s="62"/>
      <c r="P60" s="63"/>
      <c r="Q60" s="62"/>
      <c r="R60" s="149"/>
      <c r="S60" s="68">
        <v>1.0</v>
      </c>
      <c r="T60" s="64">
        <v>0.0</v>
      </c>
      <c r="U60" s="68">
        <v>0.0</v>
      </c>
      <c r="V60" s="64">
        <v>0.0</v>
      </c>
      <c r="W60" s="68">
        <f t="shared" si="3"/>
        <v>1</v>
      </c>
      <c r="X60" s="117"/>
      <c r="Y60" s="173"/>
      <c r="Z60" s="65"/>
    </row>
    <row r="61" ht="14.25" customHeight="1">
      <c r="B61" s="148"/>
      <c r="C61" s="144"/>
      <c r="D61" s="154" t="s">
        <v>882</v>
      </c>
      <c r="L61" s="61"/>
      <c r="M61" s="62"/>
      <c r="N61" s="63"/>
      <c r="O61" s="62"/>
      <c r="P61" s="63"/>
      <c r="Q61" s="62"/>
      <c r="R61" s="149"/>
      <c r="S61" s="68">
        <v>0.0</v>
      </c>
      <c r="T61" s="64">
        <v>0.0</v>
      </c>
      <c r="U61" s="68">
        <v>0.0</v>
      </c>
      <c r="V61" s="64">
        <v>0.0</v>
      </c>
      <c r="W61" s="68">
        <f t="shared" si="3"/>
        <v>0</v>
      </c>
      <c r="X61" s="117"/>
      <c r="Y61" s="173"/>
      <c r="Z61" s="65"/>
    </row>
    <row r="62" ht="14.25" customHeight="1">
      <c r="B62" s="148"/>
      <c r="C62" s="144"/>
      <c r="D62" s="154" t="s">
        <v>883</v>
      </c>
      <c r="L62" s="61"/>
      <c r="M62" s="62"/>
      <c r="N62" s="63"/>
      <c r="O62" s="62"/>
      <c r="P62" s="63"/>
      <c r="Q62" s="62"/>
      <c r="R62" s="149"/>
      <c r="S62" s="68">
        <v>0.0</v>
      </c>
      <c r="T62" s="64">
        <v>0.0</v>
      </c>
      <c r="U62" s="68">
        <v>0.0</v>
      </c>
      <c r="V62" s="64">
        <v>0.0</v>
      </c>
      <c r="W62" s="68">
        <f t="shared" si="3"/>
        <v>0</v>
      </c>
      <c r="X62" s="117"/>
      <c r="Y62" s="173"/>
      <c r="Z62" s="65"/>
    </row>
    <row r="63" ht="14.25" customHeight="1">
      <c r="B63" s="148"/>
      <c r="C63" s="144"/>
      <c r="D63" s="154" t="s">
        <v>884</v>
      </c>
      <c r="L63" s="61"/>
      <c r="M63" s="62"/>
      <c r="N63" s="63"/>
      <c r="O63" s="62"/>
      <c r="P63" s="63"/>
      <c r="Q63" s="62"/>
      <c r="R63" s="149"/>
      <c r="S63" s="68">
        <v>1.0</v>
      </c>
      <c r="T63" s="64">
        <v>0.0</v>
      </c>
      <c r="U63" s="68">
        <v>0.0</v>
      </c>
      <c r="V63" s="64">
        <v>0.0</v>
      </c>
      <c r="W63" s="68">
        <f t="shared" si="3"/>
        <v>1</v>
      </c>
      <c r="X63" s="117"/>
      <c r="Y63" s="173"/>
      <c r="Z63" s="65"/>
    </row>
    <row r="64" ht="14.25" customHeight="1">
      <c r="B64" s="148"/>
      <c r="C64" s="144"/>
      <c r="D64" s="154" t="s">
        <v>885</v>
      </c>
      <c r="L64" s="61"/>
      <c r="M64" s="62"/>
      <c r="N64" s="63"/>
      <c r="O64" s="62"/>
      <c r="P64" s="63"/>
      <c r="Q64" s="62"/>
      <c r="R64" s="149"/>
      <c r="S64" s="68">
        <v>0.0</v>
      </c>
      <c r="T64" s="64">
        <v>0.0</v>
      </c>
      <c r="U64" s="68">
        <v>0.0</v>
      </c>
      <c r="V64" s="64">
        <v>0.0</v>
      </c>
      <c r="W64" s="68">
        <f t="shared" si="3"/>
        <v>0</v>
      </c>
      <c r="X64" s="117"/>
      <c r="Y64" s="173"/>
      <c r="Z64" s="65"/>
    </row>
    <row r="65" ht="14.25" customHeight="1">
      <c r="B65" s="148"/>
      <c r="C65" s="144"/>
      <c r="D65" s="154" t="s">
        <v>886</v>
      </c>
      <c r="L65" s="61"/>
      <c r="M65" s="62"/>
      <c r="N65" s="63"/>
      <c r="O65" s="62"/>
      <c r="P65" s="63"/>
      <c r="Q65" s="62"/>
      <c r="R65" s="149"/>
      <c r="S65" s="68">
        <v>0.0</v>
      </c>
      <c r="T65" s="64">
        <v>0.0</v>
      </c>
      <c r="U65" s="68">
        <v>0.0</v>
      </c>
      <c r="V65" s="64">
        <v>0.0</v>
      </c>
      <c r="W65" s="68">
        <f t="shared" si="3"/>
        <v>0</v>
      </c>
      <c r="X65" s="117"/>
      <c r="Y65" s="173"/>
      <c r="Z65" s="65"/>
    </row>
    <row r="66" ht="14.25" customHeight="1">
      <c r="B66" s="148"/>
      <c r="C66" s="144"/>
      <c r="D66" s="144" t="s">
        <v>887</v>
      </c>
      <c r="L66" s="61"/>
      <c r="M66" s="62"/>
      <c r="N66" s="63"/>
      <c r="O66" s="62"/>
      <c r="P66" s="63"/>
      <c r="Q66" s="62"/>
      <c r="R66" s="149"/>
      <c r="S66" s="68">
        <v>1.0</v>
      </c>
      <c r="T66" s="64">
        <v>1.0</v>
      </c>
      <c r="U66" s="68">
        <v>13.0</v>
      </c>
      <c r="V66" s="64">
        <v>3.0</v>
      </c>
      <c r="W66" s="68">
        <f t="shared" si="3"/>
        <v>18</v>
      </c>
      <c r="X66" s="117"/>
      <c r="Y66" s="173"/>
      <c r="Z66" s="65"/>
    </row>
    <row r="67" ht="14.25" customHeight="1">
      <c r="B67" s="148"/>
      <c r="C67" s="144"/>
      <c r="D67" s="144" t="s">
        <v>888</v>
      </c>
      <c r="L67" s="61"/>
      <c r="M67" s="62"/>
      <c r="N67" s="63"/>
      <c r="O67" s="62"/>
      <c r="P67" s="63"/>
      <c r="Q67" s="62"/>
      <c r="R67" s="149"/>
      <c r="S67" s="68">
        <v>0.0</v>
      </c>
      <c r="T67" s="64">
        <v>0.0</v>
      </c>
      <c r="U67" s="68">
        <v>0.0</v>
      </c>
      <c r="V67" s="64">
        <v>0.0</v>
      </c>
      <c r="W67" s="68">
        <f t="shared" si="3"/>
        <v>0</v>
      </c>
      <c r="X67" s="117"/>
      <c r="Y67" s="173"/>
      <c r="Z67" s="65"/>
    </row>
    <row r="68" ht="14.25" customHeight="1">
      <c r="B68" s="148"/>
      <c r="C68" s="144"/>
      <c r="D68" s="154" t="s">
        <v>889</v>
      </c>
      <c r="L68" s="61"/>
      <c r="M68" s="62"/>
      <c r="N68" s="63"/>
      <c r="O68" s="62"/>
      <c r="P68" s="63"/>
      <c r="Q68" s="62"/>
      <c r="R68" s="149"/>
      <c r="S68" s="68">
        <v>0.0</v>
      </c>
      <c r="T68" s="64">
        <v>0.0</v>
      </c>
      <c r="U68" s="68">
        <v>0.0</v>
      </c>
      <c r="V68" s="64">
        <v>0.0</v>
      </c>
      <c r="W68" s="68">
        <f t="shared" si="3"/>
        <v>0</v>
      </c>
      <c r="X68" s="117"/>
      <c r="Y68" s="173"/>
      <c r="Z68" s="65"/>
    </row>
    <row r="69" ht="14.25" customHeight="1">
      <c r="B69" s="148"/>
      <c r="C69" s="144"/>
      <c r="D69" s="154" t="s">
        <v>890</v>
      </c>
      <c r="L69" s="61"/>
      <c r="M69" s="62"/>
      <c r="N69" s="63"/>
      <c r="O69" s="62"/>
      <c r="P69" s="63"/>
      <c r="Q69" s="62"/>
      <c r="R69" s="149"/>
      <c r="S69" s="68">
        <v>0.0</v>
      </c>
      <c r="T69" s="64">
        <v>0.0</v>
      </c>
      <c r="U69" s="68">
        <v>0.0</v>
      </c>
      <c r="V69" s="64">
        <v>0.0</v>
      </c>
      <c r="W69" s="68">
        <f t="shared" si="3"/>
        <v>0</v>
      </c>
      <c r="X69" s="117"/>
      <c r="Y69" s="173"/>
      <c r="Z69" s="65"/>
    </row>
    <row r="70" ht="14.25" customHeight="1">
      <c r="B70" s="148"/>
      <c r="C70" s="144"/>
      <c r="D70" s="144" t="s">
        <v>891</v>
      </c>
      <c r="L70" s="61"/>
      <c r="M70" s="62"/>
      <c r="N70" s="63"/>
      <c r="O70" s="62"/>
      <c r="P70" s="63"/>
      <c r="Q70" s="62"/>
      <c r="R70" s="149"/>
      <c r="S70" s="68">
        <v>0.0</v>
      </c>
      <c r="T70" s="64">
        <v>0.0</v>
      </c>
      <c r="U70" s="68">
        <v>0.0</v>
      </c>
      <c r="V70" s="64">
        <v>0.0</v>
      </c>
      <c r="W70" s="68">
        <f t="shared" si="3"/>
        <v>0</v>
      </c>
      <c r="X70" s="117"/>
      <c r="Y70" s="173"/>
      <c r="Z70" s="65"/>
    </row>
    <row r="71" ht="14.25" customHeight="1">
      <c r="B71" s="148"/>
      <c r="C71" s="144"/>
      <c r="D71" s="144" t="s">
        <v>892</v>
      </c>
      <c r="L71" s="61"/>
      <c r="M71" s="62"/>
      <c r="N71" s="63"/>
      <c r="O71" s="62"/>
      <c r="P71" s="63"/>
      <c r="Q71" s="62"/>
      <c r="R71" s="149"/>
      <c r="S71" s="68">
        <v>17.0</v>
      </c>
      <c r="T71" s="64">
        <v>0.0</v>
      </c>
      <c r="U71" s="68">
        <v>14.0</v>
      </c>
      <c r="V71" s="64">
        <v>0.0</v>
      </c>
      <c r="W71" s="68">
        <f t="shared" si="3"/>
        <v>31</v>
      </c>
      <c r="X71" s="117"/>
      <c r="Y71" s="173"/>
      <c r="Z71" s="65"/>
    </row>
    <row r="72" ht="14.25" customHeight="1">
      <c r="B72" s="148"/>
      <c r="C72" s="144"/>
      <c r="D72" s="144" t="s">
        <v>893</v>
      </c>
      <c r="L72" s="61"/>
      <c r="M72" s="62"/>
      <c r="N72" s="63"/>
      <c r="O72" s="62"/>
      <c r="P72" s="63"/>
      <c r="Q72" s="62"/>
      <c r="R72" s="149"/>
      <c r="S72" s="68">
        <v>0.0</v>
      </c>
      <c r="T72" s="64">
        <v>0.0</v>
      </c>
      <c r="U72" s="68">
        <v>0.0</v>
      </c>
      <c r="V72" s="64">
        <v>0.0</v>
      </c>
      <c r="W72" s="68">
        <f t="shared" si="3"/>
        <v>0</v>
      </c>
      <c r="X72" s="117"/>
      <c r="Y72" s="173"/>
      <c r="Z72" s="65"/>
    </row>
    <row r="73" ht="14.25" customHeight="1">
      <c r="B73" s="148"/>
      <c r="C73" s="144"/>
      <c r="D73" s="183" t="s">
        <v>894</v>
      </c>
      <c r="E73" s="144"/>
      <c r="L73" s="61"/>
      <c r="M73" s="62"/>
      <c r="N73" s="63"/>
      <c r="O73" s="62"/>
      <c r="P73" s="63"/>
      <c r="Q73" s="62"/>
      <c r="R73" s="149"/>
      <c r="S73" s="68">
        <v>0.0</v>
      </c>
      <c r="T73" s="64">
        <v>0.0</v>
      </c>
      <c r="U73" s="68">
        <v>0.0</v>
      </c>
      <c r="V73" s="64">
        <v>0.0</v>
      </c>
      <c r="W73" s="68">
        <f t="shared" si="3"/>
        <v>0</v>
      </c>
      <c r="X73" s="117"/>
      <c r="Y73" s="173"/>
      <c r="Z73" s="65"/>
    </row>
    <row r="74" ht="14.25" customHeight="1">
      <c r="B74" s="148"/>
      <c r="C74" s="144"/>
      <c r="D74" s="183" t="s">
        <v>895</v>
      </c>
      <c r="E74" s="144"/>
      <c r="L74" s="61"/>
      <c r="M74" s="62"/>
      <c r="N74" s="63"/>
      <c r="O74" s="62"/>
      <c r="P74" s="63"/>
      <c r="Q74" s="62"/>
      <c r="R74" s="149"/>
      <c r="S74" s="68">
        <v>0.0</v>
      </c>
      <c r="T74" s="64">
        <v>0.0</v>
      </c>
      <c r="U74" s="68">
        <v>0.0</v>
      </c>
      <c r="V74" s="64">
        <v>0.0</v>
      </c>
      <c r="W74" s="68">
        <f t="shared" si="3"/>
        <v>0</v>
      </c>
      <c r="X74" s="117"/>
      <c r="Y74" s="173"/>
      <c r="Z74" s="65"/>
    </row>
    <row r="75" ht="14.25" customHeight="1">
      <c r="B75" s="148"/>
      <c r="C75" s="144"/>
      <c r="D75" s="183" t="s">
        <v>896</v>
      </c>
      <c r="E75" s="144"/>
      <c r="L75" s="61"/>
      <c r="M75" s="62"/>
      <c r="N75" s="63"/>
      <c r="O75" s="62"/>
      <c r="P75" s="63"/>
      <c r="Q75" s="62"/>
      <c r="R75" s="149"/>
      <c r="S75" s="68">
        <v>0.0</v>
      </c>
      <c r="T75" s="64">
        <v>0.0</v>
      </c>
      <c r="U75" s="68">
        <v>0.0</v>
      </c>
      <c r="V75" s="64">
        <v>0.0</v>
      </c>
      <c r="W75" s="68">
        <f t="shared" si="3"/>
        <v>0</v>
      </c>
      <c r="X75" s="117"/>
      <c r="Y75" s="173"/>
      <c r="Z75" s="65"/>
    </row>
    <row r="76" ht="14.25" customHeight="1">
      <c r="B76" s="148"/>
      <c r="C76" s="144"/>
      <c r="D76" s="144" t="s">
        <v>897</v>
      </c>
      <c r="L76" s="61"/>
      <c r="M76" s="62"/>
      <c r="N76" s="63"/>
      <c r="O76" s="62"/>
      <c r="P76" s="63"/>
      <c r="Q76" s="62"/>
      <c r="R76" s="149"/>
      <c r="S76" s="68">
        <v>0.0</v>
      </c>
      <c r="T76" s="64">
        <v>0.0</v>
      </c>
      <c r="U76" s="68">
        <v>0.0</v>
      </c>
      <c r="V76" s="64">
        <v>0.0</v>
      </c>
      <c r="W76" s="68">
        <f t="shared" si="3"/>
        <v>0</v>
      </c>
      <c r="X76" s="117"/>
      <c r="Y76" s="173"/>
      <c r="Z76" s="65"/>
    </row>
    <row r="77" ht="14.25" customHeight="1">
      <c r="B77" s="148"/>
      <c r="C77" s="144"/>
      <c r="D77" s="144" t="s">
        <v>898</v>
      </c>
      <c r="L77" s="61"/>
      <c r="M77" s="62"/>
      <c r="N77" s="63"/>
      <c r="O77" s="62"/>
      <c r="P77" s="63"/>
      <c r="Q77" s="62"/>
      <c r="R77" s="149"/>
      <c r="S77" s="68">
        <v>0.0</v>
      </c>
      <c r="T77" s="64">
        <v>0.0</v>
      </c>
      <c r="U77" s="68">
        <v>0.0</v>
      </c>
      <c r="V77" s="64">
        <v>0.0</v>
      </c>
      <c r="W77" s="68">
        <f t="shared" si="3"/>
        <v>0</v>
      </c>
      <c r="X77" s="117"/>
      <c r="Y77" s="173"/>
      <c r="Z77" s="65"/>
    </row>
    <row r="78" ht="14.25" customHeight="1">
      <c r="B78" s="148"/>
      <c r="C78" s="144"/>
      <c r="D78" s="144" t="s">
        <v>899</v>
      </c>
      <c r="L78" s="61"/>
      <c r="M78" s="62"/>
      <c r="N78" s="63"/>
      <c r="O78" s="62"/>
      <c r="P78" s="63"/>
      <c r="Q78" s="62"/>
      <c r="R78" s="149"/>
      <c r="S78" s="68">
        <v>2.0</v>
      </c>
      <c r="T78" s="64">
        <v>0.0</v>
      </c>
      <c r="U78" s="68">
        <v>0.0</v>
      </c>
      <c r="V78" s="64">
        <v>0.0</v>
      </c>
      <c r="W78" s="68">
        <f t="shared" si="3"/>
        <v>2</v>
      </c>
      <c r="X78" s="117"/>
      <c r="Y78" s="173"/>
      <c r="Z78" s="65"/>
    </row>
    <row r="79" ht="14.25" customHeight="1">
      <c r="B79" s="148"/>
      <c r="C79" s="144"/>
      <c r="D79" s="144" t="s">
        <v>900</v>
      </c>
      <c r="L79" s="61"/>
      <c r="M79" s="62"/>
      <c r="N79" s="63"/>
      <c r="O79" s="62"/>
      <c r="P79" s="63"/>
      <c r="Q79" s="62"/>
      <c r="R79" s="149"/>
      <c r="S79" s="68">
        <v>0.0</v>
      </c>
      <c r="T79" s="64">
        <v>0.0</v>
      </c>
      <c r="U79" s="68">
        <v>0.0</v>
      </c>
      <c r="V79" s="64">
        <v>0.0</v>
      </c>
      <c r="W79" s="68">
        <f t="shared" si="3"/>
        <v>0</v>
      </c>
      <c r="X79" s="117"/>
      <c r="Y79" s="173"/>
      <c r="Z79" s="65"/>
    </row>
    <row r="80" ht="14.25" customHeight="1">
      <c r="B80" s="148"/>
      <c r="C80" s="70"/>
      <c r="D80" s="154" t="s">
        <v>901</v>
      </c>
      <c r="L80" s="61"/>
      <c r="M80" s="62"/>
      <c r="N80" s="63"/>
      <c r="O80" s="62"/>
      <c r="P80" s="63"/>
      <c r="Q80" s="62"/>
      <c r="R80" s="149"/>
      <c r="S80" s="68">
        <v>0.0</v>
      </c>
      <c r="T80" s="64">
        <v>0.0</v>
      </c>
      <c r="U80" s="68">
        <v>0.0</v>
      </c>
      <c r="V80" s="64">
        <v>0.0</v>
      </c>
      <c r="W80" s="68">
        <f t="shared" si="3"/>
        <v>0</v>
      </c>
      <c r="X80" s="117"/>
      <c r="Y80" s="173"/>
      <c r="Z80" s="65"/>
    </row>
    <row r="81" ht="14.25" customHeight="1">
      <c r="B81" s="148"/>
      <c r="C81" s="70"/>
      <c r="D81" s="154" t="s">
        <v>902</v>
      </c>
      <c r="L81" s="61"/>
      <c r="M81" s="62"/>
      <c r="N81" s="63"/>
      <c r="O81" s="62"/>
      <c r="P81" s="63"/>
      <c r="Q81" s="62"/>
      <c r="R81" s="149"/>
      <c r="S81" s="68">
        <v>0.0</v>
      </c>
      <c r="T81" s="64">
        <v>0.0</v>
      </c>
      <c r="U81" s="68">
        <v>0.0</v>
      </c>
      <c r="V81" s="64">
        <v>0.0</v>
      </c>
      <c r="W81" s="68">
        <f t="shared" si="3"/>
        <v>0</v>
      </c>
      <c r="X81" s="117"/>
      <c r="Y81" s="173"/>
      <c r="Z81" s="65"/>
    </row>
    <row r="82" ht="14.25" customHeight="1">
      <c r="B82" s="148"/>
      <c r="C82" s="70"/>
      <c r="D82" s="154" t="s">
        <v>903</v>
      </c>
      <c r="L82" s="61"/>
      <c r="M82" s="62"/>
      <c r="N82" s="63"/>
      <c r="O82" s="62"/>
      <c r="P82" s="63"/>
      <c r="Q82" s="62"/>
      <c r="R82" s="149"/>
      <c r="S82" s="68">
        <v>0.0</v>
      </c>
      <c r="T82" s="64">
        <v>0.0</v>
      </c>
      <c r="U82" s="68">
        <v>0.0</v>
      </c>
      <c r="V82" s="64">
        <v>0.0</v>
      </c>
      <c r="W82" s="68">
        <f t="shared" si="3"/>
        <v>0</v>
      </c>
      <c r="X82" s="117"/>
      <c r="Y82" s="173"/>
      <c r="Z82" s="65"/>
    </row>
    <row r="83" ht="14.25" customHeight="1">
      <c r="B83" s="148"/>
      <c r="C83" s="70"/>
      <c r="D83" s="154" t="s">
        <v>904</v>
      </c>
      <c r="L83" s="61"/>
      <c r="M83" s="62"/>
      <c r="N83" s="63"/>
      <c r="O83" s="62"/>
      <c r="P83" s="63"/>
      <c r="Q83" s="62"/>
      <c r="R83" s="149"/>
      <c r="S83" s="68">
        <v>0.0</v>
      </c>
      <c r="T83" s="64">
        <v>0.0</v>
      </c>
      <c r="U83" s="68">
        <v>0.0</v>
      </c>
      <c r="V83" s="64">
        <v>0.0</v>
      </c>
      <c r="W83" s="68">
        <f t="shared" si="3"/>
        <v>0</v>
      </c>
      <c r="X83" s="117"/>
      <c r="Y83" s="173"/>
      <c r="Z83" s="65"/>
    </row>
    <row r="84" ht="14.25" customHeight="1">
      <c r="B84" s="148"/>
      <c r="C84" s="70"/>
      <c r="D84" s="154" t="s">
        <v>905</v>
      </c>
      <c r="L84" s="61"/>
      <c r="M84" s="62"/>
      <c r="N84" s="63"/>
      <c r="O84" s="62"/>
      <c r="P84" s="63"/>
      <c r="Q84" s="62"/>
      <c r="R84" s="149"/>
      <c r="S84" s="68">
        <v>0.0</v>
      </c>
      <c r="T84" s="64">
        <v>0.0</v>
      </c>
      <c r="U84" s="68">
        <v>0.0</v>
      </c>
      <c r="V84" s="64">
        <v>0.0</v>
      </c>
      <c r="W84" s="68">
        <f t="shared" si="3"/>
        <v>0</v>
      </c>
      <c r="X84" s="117"/>
      <c r="Y84" s="173"/>
      <c r="Z84" s="65"/>
    </row>
    <row r="85" ht="15.0" customHeight="1">
      <c r="B85" s="148"/>
      <c r="C85" s="214" t="s">
        <v>906</v>
      </c>
      <c r="D85" s="168" t="s">
        <v>907</v>
      </c>
      <c r="E85" s="168"/>
      <c r="L85" s="61"/>
      <c r="M85" s="62"/>
      <c r="N85" s="63"/>
      <c r="O85" s="62"/>
      <c r="P85" s="63"/>
      <c r="Q85" s="62"/>
      <c r="R85" s="63"/>
      <c r="S85" s="68">
        <v>53.0</v>
      </c>
      <c r="T85" s="64">
        <v>0.0</v>
      </c>
      <c r="U85" s="68">
        <v>0.0</v>
      </c>
      <c r="V85" s="64">
        <v>37.0</v>
      </c>
      <c r="W85" s="68">
        <f t="shared" si="3"/>
        <v>90</v>
      </c>
      <c r="X85" s="117"/>
      <c r="Y85" s="173"/>
      <c r="Z85" s="65"/>
    </row>
    <row r="86" ht="15.0" customHeight="1">
      <c r="B86" s="148"/>
      <c r="C86" s="144"/>
      <c r="D86" s="70" t="s">
        <v>845</v>
      </c>
      <c r="E86" s="91" t="s">
        <v>908</v>
      </c>
      <c r="F86" s="70"/>
      <c r="L86" s="61"/>
      <c r="M86" s="62"/>
      <c r="N86" s="63"/>
      <c r="O86" s="62"/>
      <c r="P86" s="63"/>
      <c r="Q86" s="62"/>
      <c r="R86" s="63"/>
      <c r="S86" s="68">
        <v>0.0</v>
      </c>
      <c r="T86" s="64">
        <v>0.0</v>
      </c>
      <c r="U86" s="68">
        <v>0.0</v>
      </c>
      <c r="V86" s="64">
        <v>0.0</v>
      </c>
      <c r="W86" s="68">
        <f t="shared" si="3"/>
        <v>0</v>
      </c>
      <c r="X86" s="117"/>
      <c r="Y86" s="173"/>
      <c r="Z86" s="65"/>
    </row>
    <row r="87" ht="15.0" customHeight="1">
      <c r="B87" s="148"/>
      <c r="C87" s="144"/>
      <c r="D87" s="70" t="s">
        <v>847</v>
      </c>
      <c r="E87" s="91" t="s">
        <v>909</v>
      </c>
      <c r="F87" s="70"/>
      <c r="L87" s="61"/>
      <c r="M87" s="62"/>
      <c r="N87" s="63"/>
      <c r="O87" s="62"/>
      <c r="P87" s="63"/>
      <c r="Q87" s="62"/>
      <c r="R87" s="63"/>
      <c r="S87" s="68">
        <v>0.0</v>
      </c>
      <c r="T87" s="64">
        <v>0.0</v>
      </c>
      <c r="U87" s="68">
        <v>0.0</v>
      </c>
      <c r="V87" s="64">
        <v>0.0</v>
      </c>
      <c r="W87" s="68">
        <f t="shared" si="3"/>
        <v>0</v>
      </c>
      <c r="X87" s="117"/>
      <c r="Y87" s="173"/>
      <c r="Z87" s="65"/>
    </row>
    <row r="88" ht="15.0" customHeight="1">
      <c r="B88" s="148"/>
      <c r="C88" s="144"/>
      <c r="D88" s="70" t="s">
        <v>849</v>
      </c>
      <c r="E88" s="91" t="s">
        <v>910</v>
      </c>
      <c r="F88" s="70"/>
      <c r="L88" s="61"/>
      <c r="M88" s="62"/>
      <c r="N88" s="63"/>
      <c r="O88" s="62"/>
      <c r="P88" s="63"/>
      <c r="Q88" s="62"/>
      <c r="R88" s="63"/>
      <c r="S88" s="68">
        <v>15.0</v>
      </c>
      <c r="T88" s="64">
        <v>0.0</v>
      </c>
      <c r="U88" s="68">
        <v>0.0</v>
      </c>
      <c r="V88" s="64">
        <v>0.0</v>
      </c>
      <c r="W88" s="68">
        <f t="shared" si="3"/>
        <v>15</v>
      </c>
      <c r="X88" s="117"/>
      <c r="Y88" s="173"/>
      <c r="Z88" s="65"/>
    </row>
    <row r="89" ht="15.0" customHeight="1">
      <c r="B89" s="148"/>
      <c r="C89" s="144"/>
      <c r="D89" s="70" t="s">
        <v>858</v>
      </c>
      <c r="E89" s="70" t="s">
        <v>911</v>
      </c>
      <c r="F89" s="70"/>
      <c r="L89" s="61"/>
      <c r="M89" s="62"/>
      <c r="N89" s="63"/>
      <c r="O89" s="62"/>
      <c r="P89" s="63"/>
      <c r="Q89" s="62"/>
      <c r="R89" s="63"/>
      <c r="S89" s="68">
        <v>9.0</v>
      </c>
      <c r="T89" s="64">
        <v>0.0</v>
      </c>
      <c r="U89" s="68">
        <v>0.0</v>
      </c>
      <c r="V89" s="64">
        <v>4.0</v>
      </c>
      <c r="W89" s="68">
        <f t="shared" si="3"/>
        <v>13</v>
      </c>
      <c r="X89" s="117"/>
      <c r="Y89" s="173"/>
      <c r="Z89" s="65"/>
    </row>
    <row r="90" ht="15.0" customHeight="1">
      <c r="B90" s="148"/>
      <c r="C90" s="144"/>
      <c r="D90" s="70" t="s">
        <v>860</v>
      </c>
      <c r="E90" s="70" t="s">
        <v>912</v>
      </c>
      <c r="F90" s="70"/>
      <c r="L90" s="61"/>
      <c r="M90" s="62"/>
      <c r="N90" s="63"/>
      <c r="O90" s="62"/>
      <c r="P90" s="63"/>
      <c r="Q90" s="62"/>
      <c r="R90" s="63"/>
      <c r="S90" s="68">
        <v>2.0</v>
      </c>
      <c r="T90" s="64">
        <v>0.0</v>
      </c>
      <c r="U90" s="68">
        <v>0.0</v>
      </c>
      <c r="V90" s="64">
        <v>0.0</v>
      </c>
      <c r="W90" s="68">
        <f t="shared" si="3"/>
        <v>2</v>
      </c>
      <c r="X90" s="117"/>
      <c r="Y90" s="173"/>
      <c r="Z90" s="65"/>
    </row>
    <row r="91" ht="15.0" customHeight="1">
      <c r="B91" s="148"/>
      <c r="C91" s="144"/>
      <c r="D91" s="70" t="s">
        <v>862</v>
      </c>
      <c r="E91" s="70" t="s">
        <v>913</v>
      </c>
      <c r="F91" s="70"/>
      <c r="L91" s="61"/>
      <c r="M91" s="62"/>
      <c r="N91" s="63"/>
      <c r="O91" s="62"/>
      <c r="P91" s="63"/>
      <c r="Q91" s="62"/>
      <c r="R91" s="63"/>
      <c r="S91" s="68">
        <v>0.0</v>
      </c>
      <c r="T91" s="64">
        <v>0.0</v>
      </c>
      <c r="U91" s="68">
        <v>0.0</v>
      </c>
      <c r="V91" s="64">
        <v>0.0</v>
      </c>
      <c r="W91" s="68">
        <f t="shared" si="3"/>
        <v>0</v>
      </c>
      <c r="X91" s="117"/>
      <c r="Y91" s="173"/>
      <c r="Z91" s="65"/>
    </row>
    <row r="92" ht="15.0" customHeight="1">
      <c r="B92" s="148"/>
      <c r="C92" s="144"/>
      <c r="D92" s="70" t="s">
        <v>914</v>
      </c>
      <c r="E92" s="70" t="s">
        <v>915</v>
      </c>
      <c r="F92" s="70"/>
      <c r="L92" s="61"/>
      <c r="M92" s="62"/>
      <c r="N92" s="63"/>
      <c r="O92" s="62"/>
      <c r="P92" s="63"/>
      <c r="Q92" s="62"/>
      <c r="R92" s="63"/>
      <c r="S92" s="68">
        <v>20.0</v>
      </c>
      <c r="T92" s="64">
        <v>0.0</v>
      </c>
      <c r="U92" s="68">
        <v>0.0</v>
      </c>
      <c r="V92" s="64">
        <v>15.0</v>
      </c>
      <c r="W92" s="68">
        <f t="shared" si="3"/>
        <v>35</v>
      </c>
      <c r="X92" s="117"/>
      <c r="Y92" s="173"/>
      <c r="Z92" s="65"/>
    </row>
    <row r="93" ht="15.0" customHeight="1">
      <c r="B93" s="148"/>
      <c r="C93" s="144"/>
      <c r="D93" s="70" t="s">
        <v>916</v>
      </c>
      <c r="E93" s="70" t="s">
        <v>917</v>
      </c>
      <c r="F93" s="70"/>
      <c r="L93" s="61"/>
      <c r="M93" s="62"/>
      <c r="N93" s="63"/>
      <c r="O93" s="62"/>
      <c r="P93" s="63"/>
      <c r="Q93" s="62"/>
      <c r="R93" s="63"/>
      <c r="S93" s="68">
        <v>7.0</v>
      </c>
      <c r="T93" s="64">
        <v>0.0</v>
      </c>
      <c r="U93" s="68">
        <v>0.0</v>
      </c>
      <c r="V93" s="64">
        <v>15.0</v>
      </c>
      <c r="W93" s="68">
        <f t="shared" si="3"/>
        <v>22</v>
      </c>
      <c r="X93" s="117"/>
      <c r="Y93" s="173"/>
      <c r="Z93" s="65"/>
    </row>
    <row r="94" ht="15.0" customHeight="1">
      <c r="B94" s="148"/>
      <c r="C94" s="144"/>
      <c r="D94" s="70" t="s">
        <v>918</v>
      </c>
      <c r="E94" s="70" t="s">
        <v>919</v>
      </c>
      <c r="F94" s="70"/>
      <c r="L94" s="61"/>
      <c r="M94" s="62"/>
      <c r="N94" s="63"/>
      <c r="O94" s="62"/>
      <c r="P94" s="63"/>
      <c r="Q94" s="62"/>
      <c r="R94" s="63"/>
      <c r="S94" s="68">
        <v>0.0</v>
      </c>
      <c r="T94" s="64">
        <v>0.0</v>
      </c>
      <c r="U94" s="68">
        <v>0.0</v>
      </c>
      <c r="V94" s="64">
        <v>3.0</v>
      </c>
      <c r="W94" s="68">
        <f t="shared" si="3"/>
        <v>3</v>
      </c>
      <c r="X94" s="117"/>
      <c r="Y94" s="173"/>
      <c r="Z94" s="65"/>
    </row>
    <row r="95" ht="14.25" customHeight="1">
      <c r="B95" s="148"/>
      <c r="C95" s="70"/>
      <c r="D95" s="70"/>
      <c r="E95" s="77" t="s">
        <v>920</v>
      </c>
      <c r="F95" s="70"/>
      <c r="L95" s="61"/>
      <c r="M95" s="62"/>
      <c r="N95" s="63"/>
      <c r="O95" s="62"/>
      <c r="P95" s="63"/>
      <c r="Q95" s="62"/>
      <c r="R95" s="63"/>
      <c r="S95" s="68">
        <v>0.0</v>
      </c>
      <c r="T95" s="64">
        <v>0.0</v>
      </c>
      <c r="U95" s="68">
        <v>0.0</v>
      </c>
      <c r="V95" s="64">
        <v>0.0</v>
      </c>
      <c r="W95" s="68">
        <f t="shared" si="3"/>
        <v>0</v>
      </c>
      <c r="X95" s="117"/>
      <c r="Y95" s="173"/>
      <c r="Z95" s="65"/>
    </row>
    <row r="96" ht="14.25" customHeight="1">
      <c r="B96" s="148"/>
      <c r="C96" s="70"/>
      <c r="D96" s="70"/>
      <c r="E96" s="77" t="s">
        <v>921</v>
      </c>
      <c r="F96" s="70"/>
      <c r="L96" s="61"/>
      <c r="M96" s="62"/>
      <c r="N96" s="63"/>
      <c r="O96" s="62"/>
      <c r="P96" s="63"/>
      <c r="Q96" s="62"/>
      <c r="R96" s="63"/>
      <c r="S96" s="68">
        <v>0.0</v>
      </c>
      <c r="T96" s="64">
        <v>0.0</v>
      </c>
      <c r="U96" s="68">
        <v>0.0</v>
      </c>
      <c r="V96" s="64">
        <v>0.0</v>
      </c>
      <c r="W96" s="68">
        <f t="shared" si="3"/>
        <v>0</v>
      </c>
      <c r="X96" s="117"/>
      <c r="Y96" s="173"/>
      <c r="Z96" s="65"/>
    </row>
    <row r="97" ht="14.25" customHeight="1">
      <c r="B97" s="148"/>
      <c r="C97" s="70"/>
      <c r="D97" s="70"/>
      <c r="E97" s="77" t="s">
        <v>922</v>
      </c>
      <c r="F97" s="70"/>
      <c r="L97" s="61"/>
      <c r="M97" s="62"/>
      <c r="N97" s="63"/>
      <c r="O97" s="62"/>
      <c r="P97" s="63"/>
      <c r="Q97" s="62"/>
      <c r="R97" s="63"/>
      <c r="S97" s="68">
        <v>0.0</v>
      </c>
      <c r="T97" s="64">
        <v>0.0</v>
      </c>
      <c r="U97" s="68">
        <v>0.0</v>
      </c>
      <c r="V97" s="64">
        <v>0.0</v>
      </c>
      <c r="W97" s="68">
        <f t="shared" si="3"/>
        <v>0</v>
      </c>
      <c r="X97" s="117"/>
      <c r="Y97" s="173"/>
      <c r="Z97" s="65"/>
    </row>
    <row r="98" ht="14.25" customHeight="1">
      <c r="B98" s="148"/>
      <c r="C98" s="70"/>
      <c r="D98" s="70"/>
      <c r="E98" s="77" t="s">
        <v>923</v>
      </c>
      <c r="L98" s="61"/>
      <c r="M98" s="62"/>
      <c r="N98" s="63"/>
      <c r="O98" s="62"/>
      <c r="P98" s="63"/>
      <c r="Q98" s="62"/>
      <c r="R98" s="63"/>
      <c r="S98" s="68">
        <v>0.0</v>
      </c>
      <c r="T98" s="64">
        <v>0.0</v>
      </c>
      <c r="U98" s="68">
        <v>0.0</v>
      </c>
      <c r="V98" s="64">
        <v>3.0</v>
      </c>
      <c r="W98" s="68">
        <f t="shared" si="3"/>
        <v>3</v>
      </c>
      <c r="X98" s="117"/>
      <c r="Y98" s="173"/>
      <c r="Z98" s="65"/>
    </row>
    <row r="99" ht="14.25" customHeight="1">
      <c r="B99" s="148"/>
      <c r="C99" s="70"/>
      <c r="D99" s="70"/>
      <c r="E99" s="70"/>
      <c r="L99" s="61"/>
      <c r="M99" s="62"/>
      <c r="N99" s="63"/>
      <c r="O99" s="62"/>
      <c r="P99" s="63"/>
      <c r="Q99" s="62"/>
      <c r="R99" s="63"/>
      <c r="S99" s="68"/>
      <c r="T99" s="64"/>
      <c r="U99" s="68"/>
      <c r="V99" s="64"/>
      <c r="W99" s="68"/>
      <c r="X99" s="117"/>
      <c r="Y99" s="173"/>
      <c r="Z99" s="65"/>
    </row>
    <row r="100" ht="14.25" customHeight="1">
      <c r="B100" s="148"/>
      <c r="C100" s="214" t="s">
        <v>924</v>
      </c>
      <c r="D100" s="144" t="s">
        <v>925</v>
      </c>
      <c r="E100" s="183"/>
      <c r="L100" s="61"/>
      <c r="M100" s="62"/>
      <c r="N100" s="63"/>
      <c r="O100" s="62"/>
      <c r="P100" s="63"/>
      <c r="Q100" s="62"/>
      <c r="R100" s="63"/>
      <c r="S100" s="68">
        <v>308.0</v>
      </c>
      <c r="T100" s="64">
        <v>349.0</v>
      </c>
      <c r="U100" s="68">
        <v>192.0</v>
      </c>
      <c r="V100" s="64">
        <v>200.0</v>
      </c>
      <c r="W100" s="68">
        <f>SUM(S100:V100)</f>
        <v>1049</v>
      </c>
      <c r="X100" s="117"/>
      <c r="Y100" s="173"/>
      <c r="Z100" s="65"/>
    </row>
    <row r="101" ht="15.0" customHeight="1">
      <c r="B101" s="148" t="s">
        <v>403</v>
      </c>
      <c r="C101" s="554" t="s">
        <v>926</v>
      </c>
      <c r="D101" s="186" t="s">
        <v>927</v>
      </c>
      <c r="E101" s="186"/>
      <c r="L101" s="61"/>
      <c r="M101" s="62"/>
      <c r="N101" s="63"/>
      <c r="O101" s="62"/>
      <c r="P101" s="63"/>
      <c r="Q101" s="62"/>
      <c r="R101" s="63"/>
      <c r="S101" s="68"/>
      <c r="T101" s="64"/>
      <c r="U101" s="68"/>
      <c r="V101" s="64"/>
      <c r="W101" s="68"/>
      <c r="X101" s="117"/>
      <c r="Y101" s="173"/>
      <c r="Z101" s="65"/>
    </row>
    <row r="102" ht="14.25" customHeight="1">
      <c r="B102" s="148"/>
      <c r="C102" s="144"/>
      <c r="D102" s="183" t="s">
        <v>928</v>
      </c>
      <c r="L102" s="61"/>
      <c r="M102" s="62"/>
      <c r="N102" s="63"/>
      <c r="O102" s="62"/>
      <c r="P102" s="63"/>
      <c r="Q102" s="62"/>
      <c r="R102" s="63"/>
      <c r="S102" s="68"/>
      <c r="T102" s="64"/>
      <c r="U102" s="68"/>
      <c r="V102" s="64"/>
      <c r="W102" s="68"/>
      <c r="X102" s="117"/>
      <c r="Y102" s="173"/>
      <c r="Z102" s="65"/>
    </row>
    <row r="103" ht="14.25" customHeight="1">
      <c r="B103" s="148"/>
      <c r="C103" s="70"/>
      <c r="D103" s="154" t="s">
        <v>929</v>
      </c>
      <c r="L103" s="61"/>
      <c r="M103" s="62"/>
      <c r="N103" s="63"/>
      <c r="O103" s="62"/>
      <c r="P103" s="63"/>
      <c r="Q103" s="62"/>
      <c r="R103" s="63"/>
      <c r="S103" s="68">
        <v>2.0</v>
      </c>
      <c r="T103" s="64">
        <v>0.0</v>
      </c>
      <c r="U103" s="68">
        <v>0.0</v>
      </c>
      <c r="V103" s="64">
        <v>0.0</v>
      </c>
      <c r="W103" s="68">
        <f t="shared" ref="W103:W106" si="4">SUM(S103:V103)</f>
        <v>2</v>
      </c>
      <c r="X103" s="117"/>
      <c r="Y103" s="173"/>
      <c r="Z103" s="65"/>
    </row>
    <row r="104" ht="14.25" customHeight="1">
      <c r="B104" s="148"/>
      <c r="C104" s="77"/>
      <c r="D104" s="154" t="s">
        <v>930</v>
      </c>
      <c r="L104" s="61"/>
      <c r="M104" s="62"/>
      <c r="N104" s="63"/>
      <c r="O104" s="62"/>
      <c r="P104" s="63"/>
      <c r="Q104" s="62"/>
      <c r="R104" s="63"/>
      <c r="S104" s="68">
        <v>5.0</v>
      </c>
      <c r="T104" s="64">
        <v>8.0</v>
      </c>
      <c r="U104" s="68">
        <v>0.0</v>
      </c>
      <c r="V104" s="64">
        <v>2.0</v>
      </c>
      <c r="W104" s="68">
        <f t="shared" si="4"/>
        <v>15</v>
      </c>
      <c r="X104" s="117"/>
      <c r="Y104" s="173"/>
      <c r="Z104" s="65"/>
    </row>
    <row r="105" ht="14.25" customHeight="1">
      <c r="B105" s="148"/>
      <c r="C105" s="77"/>
      <c r="D105" s="154" t="s">
        <v>931</v>
      </c>
      <c r="L105" s="61"/>
      <c r="M105" s="62"/>
      <c r="N105" s="63"/>
      <c r="O105" s="62"/>
      <c r="P105" s="63"/>
      <c r="Q105" s="62"/>
      <c r="R105" s="63"/>
      <c r="S105" s="68">
        <v>0.0</v>
      </c>
      <c r="T105" s="64">
        <v>0.0</v>
      </c>
      <c r="U105" s="68">
        <v>0.0</v>
      </c>
      <c r="V105" s="64">
        <v>0.0</v>
      </c>
      <c r="W105" s="68">
        <f t="shared" si="4"/>
        <v>0</v>
      </c>
      <c r="X105" s="117"/>
      <c r="Y105" s="173"/>
      <c r="Z105" s="65"/>
    </row>
    <row r="106" ht="14.25" customHeight="1">
      <c r="B106" s="148"/>
      <c r="C106" s="77"/>
      <c r="D106" s="154" t="s">
        <v>932</v>
      </c>
      <c r="L106" s="61"/>
      <c r="M106" s="62"/>
      <c r="N106" s="63"/>
      <c r="O106" s="62"/>
      <c r="P106" s="63"/>
      <c r="Q106" s="62"/>
      <c r="R106" s="63"/>
      <c r="S106" s="68">
        <v>1.0</v>
      </c>
      <c r="T106" s="64">
        <v>1.0</v>
      </c>
      <c r="U106" s="68">
        <v>0.0</v>
      </c>
      <c r="V106" s="64">
        <v>3.0</v>
      </c>
      <c r="W106" s="68">
        <f t="shared" si="4"/>
        <v>5</v>
      </c>
      <c r="X106" s="117"/>
      <c r="Y106" s="173"/>
      <c r="Z106" s="65"/>
    </row>
    <row r="107" ht="14.25" customHeight="1">
      <c r="B107" s="148"/>
      <c r="C107" s="144"/>
      <c r="D107" s="183" t="s">
        <v>933</v>
      </c>
      <c r="L107" s="61"/>
      <c r="M107" s="62"/>
      <c r="N107" s="63"/>
      <c r="O107" s="62"/>
      <c r="P107" s="63"/>
      <c r="Q107" s="62"/>
      <c r="R107" s="63"/>
      <c r="S107" s="68"/>
      <c r="T107" s="64"/>
      <c r="U107" s="68"/>
      <c r="V107" s="64"/>
      <c r="W107" s="68"/>
      <c r="X107" s="117"/>
      <c r="Y107" s="173"/>
      <c r="Z107" s="65"/>
    </row>
    <row r="108" ht="14.25" customHeight="1">
      <c r="B108" s="148"/>
      <c r="C108" s="70"/>
      <c r="D108" s="154" t="s">
        <v>934</v>
      </c>
      <c r="L108" s="61"/>
      <c r="M108" s="62"/>
      <c r="N108" s="63"/>
      <c r="O108" s="62"/>
      <c r="P108" s="63"/>
      <c r="Q108" s="62"/>
      <c r="R108" s="63"/>
      <c r="S108" s="68">
        <v>28.0</v>
      </c>
      <c r="T108" s="64">
        <v>25.0</v>
      </c>
      <c r="U108" s="68">
        <v>0.0</v>
      </c>
      <c r="V108" s="64">
        <v>4.0</v>
      </c>
      <c r="W108" s="68">
        <f t="shared" ref="W108:W113" si="5">SUM(S108:V108)</f>
        <v>57</v>
      </c>
      <c r="X108" s="117"/>
      <c r="Y108" s="173"/>
      <c r="Z108" s="65"/>
    </row>
    <row r="109" ht="14.25" customHeight="1">
      <c r="B109" s="148"/>
      <c r="C109" s="77"/>
      <c r="D109" s="154" t="s">
        <v>935</v>
      </c>
      <c r="L109" s="61"/>
      <c r="M109" s="62"/>
      <c r="N109" s="63"/>
      <c r="O109" s="62"/>
      <c r="P109" s="63"/>
      <c r="Q109" s="62"/>
      <c r="R109" s="63"/>
      <c r="S109" s="68">
        <v>117.0</v>
      </c>
      <c r="T109" s="64">
        <v>113.0</v>
      </c>
      <c r="U109" s="68">
        <v>0.0</v>
      </c>
      <c r="V109" s="64">
        <v>0.0</v>
      </c>
      <c r="W109" s="68">
        <f t="shared" si="5"/>
        <v>230</v>
      </c>
      <c r="X109" s="117"/>
      <c r="Y109" s="173"/>
      <c r="Z109" s="65"/>
    </row>
    <row r="110" ht="14.25" customHeight="1">
      <c r="B110" s="148"/>
      <c r="C110" s="75"/>
      <c r="D110" s="183" t="s">
        <v>936</v>
      </c>
      <c r="L110" s="61"/>
      <c r="M110" s="62"/>
      <c r="N110" s="63"/>
      <c r="O110" s="62"/>
      <c r="P110" s="63"/>
      <c r="Q110" s="62"/>
      <c r="R110" s="63"/>
      <c r="S110" s="68">
        <v>0.0</v>
      </c>
      <c r="T110" s="64">
        <v>0.0</v>
      </c>
      <c r="U110" s="68">
        <v>0.0</v>
      </c>
      <c r="V110" s="64">
        <v>0.0</v>
      </c>
      <c r="W110" s="68">
        <f t="shared" si="5"/>
        <v>0</v>
      </c>
      <c r="X110" s="117"/>
      <c r="Y110" s="173"/>
      <c r="Z110" s="65"/>
    </row>
    <row r="111" ht="14.25" customHeight="1">
      <c r="B111" s="148"/>
      <c r="C111" s="214" t="s">
        <v>937</v>
      </c>
      <c r="D111" s="183" t="s">
        <v>938</v>
      </c>
      <c r="E111" s="70"/>
      <c r="L111" s="61"/>
      <c r="M111" s="62"/>
      <c r="N111" s="63"/>
      <c r="O111" s="62"/>
      <c r="P111" s="63"/>
      <c r="Q111" s="62"/>
      <c r="R111" s="63"/>
      <c r="S111" s="68">
        <v>0.0</v>
      </c>
      <c r="T111" s="64">
        <v>2.0</v>
      </c>
      <c r="U111" s="68">
        <v>0.0</v>
      </c>
      <c r="V111" s="64">
        <v>1.0</v>
      </c>
      <c r="W111" s="68">
        <f t="shared" si="5"/>
        <v>3</v>
      </c>
      <c r="X111" s="117"/>
      <c r="Y111" s="173"/>
      <c r="Z111" s="65"/>
    </row>
    <row r="112" ht="14.25" customHeight="1">
      <c r="B112" s="148"/>
      <c r="C112" s="144"/>
      <c r="D112" s="183"/>
      <c r="E112" s="70" t="s">
        <v>939</v>
      </c>
      <c r="L112" s="61"/>
      <c r="M112" s="62"/>
      <c r="N112" s="63"/>
      <c r="O112" s="62"/>
      <c r="P112" s="63"/>
      <c r="Q112" s="62"/>
      <c r="R112" s="63"/>
      <c r="S112" s="68">
        <v>0.0</v>
      </c>
      <c r="T112" s="64">
        <v>2.0</v>
      </c>
      <c r="U112" s="68">
        <v>0.0</v>
      </c>
      <c r="V112" s="64">
        <v>0.0</v>
      </c>
      <c r="W112" s="68">
        <f t="shared" si="5"/>
        <v>2</v>
      </c>
      <c r="X112" s="117"/>
      <c r="Y112" s="89"/>
      <c r="Z112" s="65"/>
    </row>
    <row r="113" ht="14.25" customHeight="1">
      <c r="B113" s="148"/>
      <c r="C113" s="144"/>
      <c r="D113" s="183"/>
      <c r="E113" s="70" t="s">
        <v>940</v>
      </c>
      <c r="L113" s="61"/>
      <c r="M113" s="62"/>
      <c r="N113" s="63"/>
      <c r="O113" s="62"/>
      <c r="P113" s="63"/>
      <c r="Q113" s="62"/>
      <c r="R113" s="63"/>
      <c r="S113" s="68">
        <v>0.0</v>
      </c>
      <c r="T113" s="64">
        <v>0.0</v>
      </c>
      <c r="U113" s="68">
        <v>0.0</v>
      </c>
      <c r="V113" s="64">
        <v>1.0</v>
      </c>
      <c r="W113" s="68">
        <f t="shared" si="5"/>
        <v>1</v>
      </c>
      <c r="X113" s="117"/>
      <c r="Y113" s="89"/>
      <c r="Z113" s="65"/>
    </row>
    <row r="114" ht="14.25" customHeight="1">
      <c r="B114" s="148"/>
      <c r="C114" s="144"/>
      <c r="D114" s="183"/>
      <c r="E114" s="70"/>
      <c r="L114" s="61"/>
      <c r="M114" s="62"/>
      <c r="N114" s="63"/>
      <c r="O114" s="62"/>
      <c r="P114" s="63"/>
      <c r="Q114" s="62"/>
      <c r="R114" s="63"/>
      <c r="S114" s="68"/>
      <c r="T114" s="64"/>
      <c r="U114" s="68"/>
      <c r="V114" s="64"/>
      <c r="W114" s="68"/>
      <c r="X114" s="117"/>
      <c r="Y114" s="173"/>
      <c r="Z114" s="65"/>
    </row>
    <row r="115" ht="14.25" customHeight="1">
      <c r="B115" s="148"/>
      <c r="C115" s="214" t="s">
        <v>941</v>
      </c>
      <c r="D115" s="183" t="s">
        <v>1186</v>
      </c>
      <c r="E115" s="70"/>
      <c r="L115" s="61"/>
      <c r="M115" s="62"/>
      <c r="N115" s="63"/>
      <c r="O115" s="62"/>
      <c r="P115" s="63"/>
      <c r="Q115" s="62"/>
      <c r="R115" s="63"/>
      <c r="S115" s="68">
        <v>0.0</v>
      </c>
      <c r="T115" s="64">
        <v>0.0</v>
      </c>
      <c r="U115" s="68">
        <v>40.0</v>
      </c>
      <c r="V115" s="64">
        <v>8.0</v>
      </c>
      <c r="W115" s="68">
        <f>SUM(S115:V115)</f>
        <v>48</v>
      </c>
      <c r="X115" s="117"/>
      <c r="Y115" s="173"/>
      <c r="Z115" s="65"/>
    </row>
    <row r="116" ht="14.25" customHeight="1">
      <c r="B116" s="69" t="s">
        <v>403</v>
      </c>
      <c r="C116" s="70"/>
      <c r="D116" s="143"/>
      <c r="E116" s="143"/>
      <c r="L116" s="61"/>
      <c r="M116" s="62"/>
      <c r="N116" s="63"/>
      <c r="O116" s="62"/>
      <c r="P116" s="63"/>
      <c r="Q116" s="62"/>
      <c r="R116" s="63"/>
      <c r="S116" s="68"/>
      <c r="T116" s="64"/>
      <c r="U116" s="68"/>
      <c r="V116" s="64"/>
      <c r="W116" s="68"/>
      <c r="X116" s="117"/>
      <c r="Y116" s="173"/>
      <c r="Z116" s="65"/>
    </row>
    <row r="117" ht="14.25" customHeight="1">
      <c r="B117" s="148" t="s">
        <v>943</v>
      </c>
      <c r="C117" s="214" t="s">
        <v>866</v>
      </c>
      <c r="D117" s="144" t="s">
        <v>944</v>
      </c>
      <c r="E117" s="144"/>
      <c r="L117" s="61"/>
      <c r="M117" s="62"/>
      <c r="N117" s="63"/>
      <c r="O117" s="62"/>
      <c r="P117" s="63"/>
      <c r="Q117" s="62"/>
      <c r="R117" s="63"/>
      <c r="S117" s="68"/>
      <c r="T117" s="64"/>
      <c r="U117" s="68"/>
      <c r="V117" s="64"/>
      <c r="W117" s="68"/>
      <c r="X117" s="117"/>
      <c r="Y117" s="173"/>
      <c r="Z117" s="65"/>
    </row>
    <row r="118" ht="14.25" customHeight="1">
      <c r="B118" s="69" t="s">
        <v>945</v>
      </c>
      <c r="C118" s="70"/>
      <c r="D118" s="70" t="s">
        <v>845</v>
      </c>
      <c r="E118" s="118" t="s">
        <v>946</v>
      </c>
      <c r="L118" s="61"/>
      <c r="M118" s="62"/>
      <c r="N118" s="63"/>
      <c r="O118" s="62"/>
      <c r="P118" s="63"/>
      <c r="Q118" s="62"/>
      <c r="R118" s="63"/>
      <c r="S118" s="68">
        <v>0.0</v>
      </c>
      <c r="T118" s="64">
        <v>0.0</v>
      </c>
      <c r="U118" s="68">
        <v>1.0</v>
      </c>
      <c r="V118" s="64">
        <v>1.0</v>
      </c>
      <c r="W118" s="68">
        <f t="shared" ref="W118:W132" si="6">SUM(S118:V118)</f>
        <v>2</v>
      </c>
      <c r="X118" s="117"/>
      <c r="Y118" s="173"/>
      <c r="Z118" s="65"/>
    </row>
    <row r="119" ht="14.25" customHeight="1">
      <c r="B119" s="148"/>
      <c r="C119" s="70"/>
      <c r="D119" s="197"/>
      <c r="E119" s="118" t="s">
        <v>878</v>
      </c>
      <c r="L119" s="61"/>
      <c r="M119" s="62"/>
      <c r="N119" s="63"/>
      <c r="O119" s="62"/>
      <c r="P119" s="63"/>
      <c r="Q119" s="62"/>
      <c r="R119" s="63"/>
      <c r="S119" s="68">
        <v>0.0</v>
      </c>
      <c r="T119" s="64">
        <v>0.0</v>
      </c>
      <c r="U119" s="68">
        <v>1.0</v>
      </c>
      <c r="V119" s="64">
        <v>0.0</v>
      </c>
      <c r="W119" s="68">
        <f t="shared" si="6"/>
        <v>1</v>
      </c>
      <c r="X119" s="117"/>
      <c r="Y119" s="173"/>
      <c r="Z119" s="65"/>
    </row>
    <row r="120" ht="14.25" customHeight="1">
      <c r="B120" s="148"/>
      <c r="C120" s="70"/>
      <c r="D120" s="197"/>
      <c r="E120" s="118" t="s">
        <v>879</v>
      </c>
      <c r="L120" s="61"/>
      <c r="M120" s="62"/>
      <c r="N120" s="63"/>
      <c r="O120" s="62"/>
      <c r="P120" s="63"/>
      <c r="Q120" s="62"/>
      <c r="R120" s="63"/>
      <c r="S120" s="68">
        <v>0.0</v>
      </c>
      <c r="T120" s="64">
        <v>0.0</v>
      </c>
      <c r="U120" s="68">
        <v>0.0</v>
      </c>
      <c r="V120" s="64">
        <v>1.0</v>
      </c>
      <c r="W120" s="68">
        <f t="shared" si="6"/>
        <v>1</v>
      </c>
      <c r="X120" s="117"/>
      <c r="Y120" s="173"/>
      <c r="Z120" s="65"/>
    </row>
    <row r="121" ht="14.25" customHeight="1">
      <c r="B121" s="148" t="s">
        <v>403</v>
      </c>
      <c r="C121" s="70"/>
      <c r="D121" s="197"/>
      <c r="E121" s="118" t="s">
        <v>880</v>
      </c>
      <c r="L121" s="61"/>
      <c r="M121" s="62"/>
      <c r="N121" s="63"/>
      <c r="O121" s="62"/>
      <c r="P121" s="63"/>
      <c r="Q121" s="62"/>
      <c r="R121" s="63"/>
      <c r="S121" s="68">
        <v>0.0</v>
      </c>
      <c r="T121" s="64">
        <v>0.0</v>
      </c>
      <c r="U121" s="68">
        <v>0.0</v>
      </c>
      <c r="V121" s="64">
        <v>0.0</v>
      </c>
      <c r="W121" s="68">
        <f t="shared" si="6"/>
        <v>0</v>
      </c>
      <c r="X121" s="117"/>
      <c r="Y121" s="173"/>
      <c r="Z121" s="65"/>
    </row>
    <row r="122" ht="14.25" customHeight="1">
      <c r="B122" s="148"/>
      <c r="C122" s="70"/>
      <c r="D122" s="70" t="s">
        <v>847</v>
      </c>
      <c r="E122" s="118" t="s">
        <v>947</v>
      </c>
      <c r="L122" s="61"/>
      <c r="M122" s="62"/>
      <c r="N122" s="63"/>
      <c r="O122" s="62"/>
      <c r="P122" s="63"/>
      <c r="Q122" s="62"/>
      <c r="R122" s="63"/>
      <c r="S122" s="68">
        <v>31.0</v>
      </c>
      <c r="T122" s="64">
        <v>18.0</v>
      </c>
      <c r="U122" s="68">
        <v>36.0</v>
      </c>
      <c r="V122" s="64">
        <v>7.0</v>
      </c>
      <c r="W122" s="68">
        <f t="shared" si="6"/>
        <v>92</v>
      </c>
      <c r="X122" s="117"/>
      <c r="Y122" s="173"/>
      <c r="Z122" s="65"/>
    </row>
    <row r="123" ht="14.25" customHeight="1">
      <c r="B123" s="148"/>
      <c r="C123" s="70"/>
      <c r="D123" s="70" t="s">
        <v>849</v>
      </c>
      <c r="E123" s="118" t="s">
        <v>948</v>
      </c>
      <c r="L123" s="61"/>
      <c r="M123" s="62"/>
      <c r="N123" s="63"/>
      <c r="O123" s="62"/>
      <c r="P123" s="63"/>
      <c r="Q123" s="62"/>
      <c r="R123" s="63"/>
      <c r="S123" s="68">
        <v>0.0</v>
      </c>
      <c r="T123" s="64">
        <v>0.0</v>
      </c>
      <c r="U123" s="68">
        <v>0.0</v>
      </c>
      <c r="V123" s="64">
        <v>0.0</v>
      </c>
      <c r="W123" s="68">
        <f t="shared" si="6"/>
        <v>0</v>
      </c>
      <c r="X123" s="117"/>
      <c r="Y123" s="173"/>
      <c r="Z123" s="65"/>
    </row>
    <row r="124" ht="14.25" customHeight="1">
      <c r="B124" s="148"/>
      <c r="C124" s="70"/>
      <c r="D124" s="70" t="s">
        <v>858</v>
      </c>
      <c r="E124" s="118" t="s">
        <v>949</v>
      </c>
      <c r="L124" s="61"/>
      <c r="M124" s="62"/>
      <c r="N124" s="63"/>
      <c r="O124" s="62"/>
      <c r="P124" s="63"/>
      <c r="Q124" s="62"/>
      <c r="R124" s="63"/>
      <c r="S124" s="68">
        <v>0.0</v>
      </c>
      <c r="T124" s="64">
        <v>0.0</v>
      </c>
      <c r="U124" s="68">
        <v>0.0</v>
      </c>
      <c r="V124" s="64">
        <v>0.0</v>
      </c>
      <c r="W124" s="68">
        <f t="shared" si="6"/>
        <v>0</v>
      </c>
      <c r="X124" s="117"/>
      <c r="Y124" s="173"/>
      <c r="Z124" s="65"/>
    </row>
    <row r="125" ht="14.25" customHeight="1">
      <c r="B125" s="148"/>
      <c r="C125" s="70"/>
      <c r="D125" s="70" t="s">
        <v>860</v>
      </c>
      <c r="E125" s="118" t="s">
        <v>950</v>
      </c>
      <c r="L125" s="61"/>
      <c r="M125" s="62"/>
      <c r="N125" s="63"/>
      <c r="O125" s="62"/>
      <c r="P125" s="63"/>
      <c r="Q125" s="62"/>
      <c r="R125" s="63"/>
      <c r="S125" s="68">
        <v>0.0</v>
      </c>
      <c r="T125" s="64">
        <v>0.0</v>
      </c>
      <c r="U125" s="68">
        <v>0.0</v>
      </c>
      <c r="V125" s="64">
        <v>0.0</v>
      </c>
      <c r="W125" s="68">
        <f t="shared" si="6"/>
        <v>0</v>
      </c>
      <c r="X125" s="117"/>
      <c r="Y125" s="173"/>
      <c r="Z125" s="65"/>
    </row>
    <row r="126" ht="14.25" customHeight="1">
      <c r="B126" s="148"/>
      <c r="C126" s="70"/>
      <c r="D126" s="70" t="s">
        <v>862</v>
      </c>
      <c r="E126" s="118" t="s">
        <v>951</v>
      </c>
      <c r="L126" s="61"/>
      <c r="M126" s="62"/>
      <c r="N126" s="63"/>
      <c r="O126" s="62"/>
      <c r="P126" s="63"/>
      <c r="Q126" s="62"/>
      <c r="R126" s="63"/>
      <c r="S126" s="68">
        <v>6.0</v>
      </c>
      <c r="T126" s="64">
        <v>2.0</v>
      </c>
      <c r="U126" s="68">
        <v>17.0</v>
      </c>
      <c r="V126" s="64">
        <v>0.0</v>
      </c>
      <c r="W126" s="68">
        <f t="shared" si="6"/>
        <v>25</v>
      </c>
      <c r="X126" s="117"/>
      <c r="Y126" s="173"/>
      <c r="Z126" s="65"/>
    </row>
    <row r="127" ht="14.25" customHeight="1">
      <c r="B127" s="148"/>
      <c r="C127" s="70"/>
      <c r="D127" s="70" t="s">
        <v>914</v>
      </c>
      <c r="E127" s="118" t="s">
        <v>919</v>
      </c>
      <c r="L127" s="61"/>
      <c r="M127" s="62"/>
      <c r="N127" s="63"/>
      <c r="O127" s="62"/>
      <c r="P127" s="63"/>
      <c r="Q127" s="62"/>
      <c r="R127" s="63"/>
      <c r="S127" s="68">
        <v>38.0</v>
      </c>
      <c r="T127" s="64">
        <v>0.0</v>
      </c>
      <c r="U127" s="68">
        <v>0.0</v>
      </c>
      <c r="V127" s="64">
        <v>9.0</v>
      </c>
      <c r="W127" s="68">
        <f t="shared" si="6"/>
        <v>47</v>
      </c>
      <c r="X127" s="117"/>
      <c r="Y127" s="173"/>
      <c r="Z127" s="65"/>
    </row>
    <row r="128" ht="14.25" customHeight="1">
      <c r="B128" s="148"/>
      <c r="C128" s="70"/>
      <c r="D128" s="70"/>
      <c r="F128" s="118" t="s">
        <v>952</v>
      </c>
      <c r="L128" s="61"/>
      <c r="M128" s="62"/>
      <c r="N128" s="63"/>
      <c r="O128" s="62"/>
      <c r="P128" s="63"/>
      <c r="Q128" s="62"/>
      <c r="R128" s="63"/>
      <c r="S128" s="68">
        <v>18.0</v>
      </c>
      <c r="T128" s="64">
        <v>0.0</v>
      </c>
      <c r="U128" s="68">
        <v>0.0</v>
      </c>
      <c r="V128" s="64">
        <v>4.0</v>
      </c>
      <c r="W128" s="68">
        <f t="shared" si="6"/>
        <v>22</v>
      </c>
      <c r="X128" s="117"/>
      <c r="Y128" s="173"/>
      <c r="Z128" s="65"/>
    </row>
    <row r="129" ht="14.25" customHeight="1">
      <c r="B129" s="148"/>
      <c r="C129" s="70"/>
      <c r="D129" s="70"/>
      <c r="F129" s="118" t="s">
        <v>953</v>
      </c>
      <c r="L129" s="61"/>
      <c r="M129" s="62"/>
      <c r="N129" s="63"/>
      <c r="O129" s="62"/>
      <c r="P129" s="63"/>
      <c r="Q129" s="62"/>
      <c r="R129" s="63"/>
      <c r="S129" s="68">
        <v>20.0</v>
      </c>
      <c r="T129" s="64">
        <v>0.0</v>
      </c>
      <c r="U129" s="68">
        <v>0.0</v>
      </c>
      <c r="V129" s="64">
        <v>2.0</v>
      </c>
      <c r="W129" s="68">
        <f t="shared" si="6"/>
        <v>22</v>
      </c>
      <c r="X129" s="117"/>
      <c r="Y129" s="173"/>
      <c r="Z129" s="65"/>
    </row>
    <row r="130" ht="14.25" customHeight="1">
      <c r="B130" s="148"/>
      <c r="C130" s="70"/>
      <c r="D130" s="70"/>
      <c r="F130" s="118" t="s">
        <v>954</v>
      </c>
      <c r="L130" s="61"/>
      <c r="M130" s="62"/>
      <c r="N130" s="63"/>
      <c r="O130" s="62"/>
      <c r="P130" s="63"/>
      <c r="Q130" s="62"/>
      <c r="R130" s="63"/>
      <c r="S130" s="68"/>
      <c r="T130" s="64"/>
      <c r="U130" s="68"/>
      <c r="V130" s="64">
        <v>2.0</v>
      </c>
      <c r="W130" s="68">
        <f t="shared" si="6"/>
        <v>2</v>
      </c>
      <c r="X130" s="117"/>
      <c r="Y130" s="173"/>
      <c r="Z130" s="65"/>
    </row>
    <row r="131" ht="14.25" customHeight="1">
      <c r="B131" s="148"/>
      <c r="C131" s="70"/>
      <c r="D131" s="70"/>
      <c r="F131" s="118" t="s">
        <v>955</v>
      </c>
      <c r="L131" s="61"/>
      <c r="M131" s="62"/>
      <c r="N131" s="63"/>
      <c r="O131" s="62"/>
      <c r="P131" s="63"/>
      <c r="Q131" s="62"/>
      <c r="R131" s="63"/>
      <c r="S131" s="68">
        <v>0.0</v>
      </c>
      <c r="T131" s="64">
        <v>0.0</v>
      </c>
      <c r="U131" s="68">
        <v>0.0</v>
      </c>
      <c r="V131" s="64">
        <v>0.0</v>
      </c>
      <c r="W131" s="68">
        <f t="shared" si="6"/>
        <v>0</v>
      </c>
      <c r="X131" s="117"/>
      <c r="Y131" s="173"/>
      <c r="Z131" s="65"/>
    </row>
    <row r="132" ht="14.25" customHeight="1">
      <c r="B132" s="148"/>
      <c r="C132" s="70"/>
      <c r="D132" s="70"/>
      <c r="F132" s="118" t="s">
        <v>956</v>
      </c>
      <c r="L132" s="61"/>
      <c r="M132" s="62"/>
      <c r="N132" s="63"/>
      <c r="O132" s="62"/>
      <c r="P132" s="63"/>
      <c r="Q132" s="62"/>
      <c r="R132" s="63"/>
      <c r="S132" s="68"/>
      <c r="T132" s="64"/>
      <c r="U132" s="68"/>
      <c r="V132" s="64">
        <v>1.0</v>
      </c>
      <c r="W132" s="68">
        <f t="shared" si="6"/>
        <v>1</v>
      </c>
      <c r="X132" s="117"/>
      <c r="Y132" s="89"/>
      <c r="Z132" s="65"/>
    </row>
    <row r="133" ht="14.25" customHeight="1">
      <c r="B133" s="148"/>
      <c r="C133" s="70"/>
      <c r="D133" s="70"/>
      <c r="E133" s="77"/>
      <c r="L133" s="61"/>
      <c r="M133" s="62"/>
      <c r="N133" s="63"/>
      <c r="O133" s="62"/>
      <c r="P133" s="63"/>
      <c r="Q133" s="62"/>
      <c r="R133" s="63"/>
      <c r="S133" s="68"/>
      <c r="T133" s="64"/>
      <c r="U133" s="68"/>
      <c r="V133" s="64"/>
      <c r="W133" s="68"/>
      <c r="X133" s="117"/>
      <c r="Y133" s="173"/>
      <c r="Z133" s="65"/>
    </row>
    <row r="134" ht="14.25" customHeight="1">
      <c r="B134" s="148"/>
      <c r="C134" s="555" t="s">
        <v>906</v>
      </c>
      <c r="D134" s="144" t="s">
        <v>957</v>
      </c>
      <c r="E134" s="144"/>
      <c r="L134" s="61"/>
      <c r="M134" s="62"/>
      <c r="N134" s="63"/>
      <c r="O134" s="62"/>
      <c r="P134" s="63"/>
      <c r="Q134" s="62"/>
      <c r="R134" s="63"/>
      <c r="S134" s="68">
        <v>103.0</v>
      </c>
      <c r="T134" s="64">
        <v>42.0</v>
      </c>
      <c r="U134" s="68">
        <v>0.0</v>
      </c>
      <c r="V134" s="64">
        <v>20.0</v>
      </c>
      <c r="W134" s="68">
        <f t="shared" ref="W134:W147" si="7">SUM(S134:V134)</f>
        <v>165</v>
      </c>
      <c r="X134" s="117"/>
      <c r="Y134" s="173"/>
      <c r="Z134" s="65"/>
    </row>
    <row r="135" ht="14.25" customHeight="1">
      <c r="B135" s="69"/>
      <c r="C135" s="70"/>
      <c r="D135" s="70" t="s">
        <v>845</v>
      </c>
      <c r="E135" s="118" t="s">
        <v>915</v>
      </c>
      <c r="L135" s="61"/>
      <c r="M135" s="62"/>
      <c r="N135" s="63"/>
      <c r="O135" s="62"/>
      <c r="P135" s="63"/>
      <c r="Q135" s="62"/>
      <c r="R135" s="63"/>
      <c r="S135" s="68">
        <v>75.0</v>
      </c>
      <c r="T135" s="64">
        <v>20.0</v>
      </c>
      <c r="U135" s="68">
        <v>0.0</v>
      </c>
      <c r="V135" s="64">
        <v>12.0</v>
      </c>
      <c r="W135" s="68">
        <f t="shared" si="7"/>
        <v>107</v>
      </c>
      <c r="X135" s="117"/>
      <c r="Y135" s="173"/>
      <c r="Z135" s="65"/>
    </row>
    <row r="136" ht="14.25" customHeight="1">
      <c r="B136" s="69"/>
      <c r="C136" s="70"/>
      <c r="D136" s="70" t="s">
        <v>847</v>
      </c>
      <c r="E136" s="118" t="s">
        <v>912</v>
      </c>
      <c r="L136" s="61"/>
      <c r="M136" s="62"/>
      <c r="N136" s="63"/>
      <c r="O136" s="62"/>
      <c r="P136" s="63"/>
      <c r="Q136" s="62"/>
      <c r="R136" s="63"/>
      <c r="S136" s="68">
        <v>5.0</v>
      </c>
      <c r="T136" s="64">
        <v>20.0</v>
      </c>
      <c r="U136" s="68">
        <v>0.0</v>
      </c>
      <c r="V136" s="64">
        <v>0.0</v>
      </c>
      <c r="W136" s="68">
        <f t="shared" si="7"/>
        <v>25</v>
      </c>
      <c r="X136" s="117"/>
      <c r="Y136" s="173"/>
      <c r="Z136" s="65"/>
    </row>
    <row r="137" ht="14.25" customHeight="1">
      <c r="B137" s="69"/>
      <c r="C137" s="70"/>
      <c r="D137" s="70" t="s">
        <v>849</v>
      </c>
      <c r="E137" s="118" t="s">
        <v>958</v>
      </c>
      <c r="L137" s="61"/>
      <c r="M137" s="62"/>
      <c r="N137" s="63"/>
      <c r="O137" s="62"/>
      <c r="P137" s="63"/>
      <c r="Q137" s="62"/>
      <c r="R137" s="63"/>
      <c r="S137" s="68">
        <v>0.0</v>
      </c>
      <c r="T137" s="64">
        <v>0.0</v>
      </c>
      <c r="U137" s="68">
        <v>0.0</v>
      </c>
      <c r="V137" s="64">
        <v>0.0</v>
      </c>
      <c r="W137" s="68">
        <f t="shared" si="7"/>
        <v>0</v>
      </c>
      <c r="X137" s="117"/>
      <c r="Y137" s="173"/>
      <c r="Z137" s="65"/>
    </row>
    <row r="138" ht="14.25" customHeight="1">
      <c r="B138" s="69"/>
      <c r="C138" s="70"/>
      <c r="D138" s="70" t="s">
        <v>858</v>
      </c>
      <c r="E138" s="118" t="s">
        <v>959</v>
      </c>
      <c r="L138" s="61"/>
      <c r="M138" s="62"/>
      <c r="N138" s="63"/>
      <c r="O138" s="62"/>
      <c r="P138" s="63"/>
      <c r="Q138" s="62"/>
      <c r="R138" s="63"/>
      <c r="S138" s="68">
        <v>0.0</v>
      </c>
      <c r="T138" s="64">
        <v>0.0</v>
      </c>
      <c r="U138" s="68">
        <v>0.0</v>
      </c>
      <c r="V138" s="64">
        <v>0.0</v>
      </c>
      <c r="W138" s="68">
        <f t="shared" si="7"/>
        <v>0</v>
      </c>
      <c r="X138" s="117"/>
      <c r="Y138" s="173"/>
      <c r="Z138" s="65"/>
    </row>
    <row r="139" ht="14.25" customHeight="1">
      <c r="B139" s="69"/>
      <c r="C139" s="70"/>
      <c r="D139" s="70" t="s">
        <v>860</v>
      </c>
      <c r="E139" s="118" t="s">
        <v>908</v>
      </c>
      <c r="L139" s="61"/>
      <c r="M139" s="62"/>
      <c r="N139" s="63"/>
      <c r="O139" s="62"/>
      <c r="P139" s="63"/>
      <c r="Q139" s="62"/>
      <c r="R139" s="63"/>
      <c r="S139" s="68">
        <v>23.0</v>
      </c>
      <c r="T139" s="64">
        <v>0.0</v>
      </c>
      <c r="U139" s="68">
        <v>0.0</v>
      </c>
      <c r="V139" s="64">
        <v>0.0</v>
      </c>
      <c r="W139" s="68">
        <f t="shared" si="7"/>
        <v>23</v>
      </c>
      <c r="X139" s="117"/>
      <c r="Y139" s="173"/>
      <c r="Z139" s="65"/>
    </row>
    <row r="140" ht="14.25" customHeight="1">
      <c r="B140" s="69"/>
      <c r="C140" s="70"/>
      <c r="D140" s="70" t="s">
        <v>862</v>
      </c>
      <c r="E140" s="118" t="s">
        <v>909</v>
      </c>
      <c r="L140" s="61"/>
      <c r="M140" s="62"/>
      <c r="N140" s="63"/>
      <c r="O140" s="62"/>
      <c r="P140" s="63"/>
      <c r="Q140" s="62"/>
      <c r="R140" s="63"/>
      <c r="S140" s="68">
        <v>0.0</v>
      </c>
      <c r="T140" s="64">
        <v>0.0</v>
      </c>
      <c r="U140" s="68">
        <v>0.0</v>
      </c>
      <c r="V140" s="64">
        <v>0.0</v>
      </c>
      <c r="W140" s="68">
        <f t="shared" si="7"/>
        <v>0</v>
      </c>
      <c r="X140" s="117"/>
      <c r="Y140" s="173"/>
      <c r="Z140" s="65"/>
    </row>
    <row r="141" ht="14.25" customHeight="1">
      <c r="B141" s="69"/>
      <c r="C141" s="70"/>
      <c r="D141" s="70" t="s">
        <v>914</v>
      </c>
      <c r="E141" s="118" t="s">
        <v>910</v>
      </c>
      <c r="L141" s="61"/>
      <c r="M141" s="62"/>
      <c r="N141" s="63"/>
      <c r="O141" s="62"/>
      <c r="P141" s="63"/>
      <c r="Q141" s="62"/>
      <c r="R141" s="63"/>
      <c r="S141" s="68">
        <v>0.0</v>
      </c>
      <c r="T141" s="64">
        <v>2.0</v>
      </c>
      <c r="U141" s="68">
        <v>0.0</v>
      </c>
      <c r="V141" s="64">
        <v>1.0</v>
      </c>
      <c r="W141" s="68">
        <f t="shared" si="7"/>
        <v>3</v>
      </c>
      <c r="X141" s="117"/>
      <c r="Y141" s="173"/>
      <c r="Z141" s="65"/>
    </row>
    <row r="142" ht="14.25" customHeight="1">
      <c r="B142" s="69"/>
      <c r="C142" s="70"/>
      <c r="D142" s="70" t="s">
        <v>916</v>
      </c>
      <c r="E142" s="118" t="s">
        <v>913</v>
      </c>
      <c r="L142" s="61"/>
      <c r="M142" s="62"/>
      <c r="N142" s="63"/>
      <c r="O142" s="62"/>
      <c r="P142" s="63"/>
      <c r="Q142" s="62"/>
      <c r="R142" s="63"/>
      <c r="S142" s="68">
        <v>0.0</v>
      </c>
      <c r="T142" s="64">
        <v>0.0</v>
      </c>
      <c r="U142" s="68">
        <v>0.0</v>
      </c>
      <c r="V142" s="64">
        <v>0.0</v>
      </c>
      <c r="W142" s="68">
        <f t="shared" si="7"/>
        <v>0</v>
      </c>
      <c r="X142" s="117"/>
      <c r="Y142" s="173"/>
      <c r="Z142" s="65"/>
    </row>
    <row r="143" ht="14.25" customHeight="1">
      <c r="B143" s="69"/>
      <c r="C143" s="70"/>
      <c r="D143" s="70" t="s">
        <v>960</v>
      </c>
      <c r="E143" s="118" t="s">
        <v>961</v>
      </c>
      <c r="L143" s="61"/>
      <c r="M143" s="62"/>
      <c r="N143" s="63"/>
      <c r="O143" s="62"/>
      <c r="P143" s="63"/>
      <c r="Q143" s="62"/>
      <c r="R143" s="63"/>
      <c r="S143" s="68">
        <v>0.0</v>
      </c>
      <c r="T143" s="64">
        <v>0.0</v>
      </c>
      <c r="U143" s="68">
        <v>0.0</v>
      </c>
      <c r="V143" s="64">
        <v>6.0</v>
      </c>
      <c r="W143" s="68">
        <f t="shared" si="7"/>
        <v>6</v>
      </c>
      <c r="X143" s="117"/>
      <c r="Y143" s="173"/>
      <c r="Z143" s="65"/>
    </row>
    <row r="144" ht="14.25" customHeight="1">
      <c r="B144" s="69"/>
      <c r="C144" s="70"/>
      <c r="D144" s="70" t="s">
        <v>962</v>
      </c>
      <c r="E144" s="118" t="s">
        <v>963</v>
      </c>
      <c r="L144" s="61"/>
      <c r="M144" s="62"/>
      <c r="N144" s="63"/>
      <c r="O144" s="62"/>
      <c r="P144" s="63"/>
      <c r="Q144" s="62"/>
      <c r="R144" s="63"/>
      <c r="S144" s="68">
        <v>0.0</v>
      </c>
      <c r="T144" s="64">
        <v>0.0</v>
      </c>
      <c r="U144" s="68">
        <v>0.0</v>
      </c>
      <c r="V144" s="64">
        <v>1.0</v>
      </c>
      <c r="W144" s="68">
        <f t="shared" si="7"/>
        <v>1</v>
      </c>
      <c r="X144" s="117"/>
      <c r="Y144" s="173"/>
      <c r="Z144" s="65"/>
    </row>
    <row r="145" ht="14.25" customHeight="1">
      <c r="B145" s="69"/>
      <c r="C145" s="70"/>
      <c r="D145" s="70"/>
      <c r="F145" s="118" t="s">
        <v>964</v>
      </c>
      <c r="L145" s="61"/>
      <c r="M145" s="62"/>
      <c r="N145" s="63"/>
      <c r="O145" s="62"/>
      <c r="P145" s="63"/>
      <c r="Q145" s="62"/>
      <c r="R145" s="63"/>
      <c r="S145" s="68">
        <v>0.0</v>
      </c>
      <c r="T145" s="64">
        <v>0.0</v>
      </c>
      <c r="U145" s="68">
        <v>0.0</v>
      </c>
      <c r="V145" s="64">
        <v>0.0</v>
      </c>
      <c r="W145" s="68">
        <f t="shared" si="7"/>
        <v>0</v>
      </c>
      <c r="X145" s="117"/>
      <c r="Y145" s="173"/>
      <c r="Z145" s="65"/>
    </row>
    <row r="146" ht="14.25" customHeight="1">
      <c r="B146" s="69"/>
      <c r="C146" s="70"/>
      <c r="D146" s="70"/>
      <c r="F146" s="118" t="s">
        <v>921</v>
      </c>
      <c r="L146" s="61"/>
      <c r="M146" s="62"/>
      <c r="N146" s="63"/>
      <c r="O146" s="62"/>
      <c r="P146" s="63"/>
      <c r="Q146" s="62"/>
      <c r="R146" s="63"/>
      <c r="S146" s="68">
        <v>0.0</v>
      </c>
      <c r="T146" s="64">
        <v>0.0</v>
      </c>
      <c r="U146" s="68">
        <v>0.0</v>
      </c>
      <c r="V146" s="64">
        <v>0.0</v>
      </c>
      <c r="W146" s="68">
        <f t="shared" si="7"/>
        <v>0</v>
      </c>
      <c r="X146" s="117"/>
      <c r="Y146" s="173"/>
      <c r="Z146" s="65"/>
    </row>
    <row r="147" ht="14.25" customHeight="1">
      <c r="B147" s="69"/>
      <c r="C147" s="70"/>
      <c r="D147" s="70"/>
      <c r="F147" s="118" t="s">
        <v>965</v>
      </c>
      <c r="L147" s="61"/>
      <c r="M147" s="62"/>
      <c r="N147" s="63"/>
      <c r="O147" s="62"/>
      <c r="P147" s="63"/>
      <c r="Q147" s="62"/>
      <c r="R147" s="63"/>
      <c r="S147" s="68"/>
      <c r="T147" s="64"/>
      <c r="U147" s="68"/>
      <c r="V147" s="64">
        <v>1.0</v>
      </c>
      <c r="W147" s="68">
        <f t="shared" si="7"/>
        <v>1</v>
      </c>
      <c r="X147" s="117"/>
      <c r="Y147" s="173"/>
      <c r="Z147" s="65"/>
    </row>
    <row r="148" ht="14.25" customHeight="1">
      <c r="B148" s="69"/>
      <c r="C148" s="70"/>
      <c r="D148" s="70"/>
      <c r="L148" s="61"/>
      <c r="M148" s="62"/>
      <c r="N148" s="63"/>
      <c r="O148" s="62"/>
      <c r="P148" s="63"/>
      <c r="Q148" s="62"/>
      <c r="R148" s="63"/>
      <c r="S148" s="68"/>
      <c r="T148" s="64"/>
      <c r="U148" s="68"/>
      <c r="V148" s="64"/>
      <c r="W148" s="68"/>
      <c r="X148" s="117"/>
      <c r="Y148" s="173"/>
      <c r="Z148" s="65"/>
    </row>
    <row r="149" ht="14.25" customHeight="1">
      <c r="B149" s="69"/>
      <c r="C149" s="70"/>
      <c r="D149" s="70"/>
      <c r="L149" s="61"/>
      <c r="M149" s="62"/>
      <c r="N149" s="63"/>
      <c r="O149" s="62"/>
      <c r="P149" s="63"/>
      <c r="Q149" s="62"/>
      <c r="R149" s="63"/>
      <c r="S149" s="68"/>
      <c r="T149" s="64"/>
      <c r="U149" s="68"/>
      <c r="V149" s="64"/>
      <c r="W149" s="68"/>
      <c r="X149" s="117"/>
      <c r="Y149" s="173"/>
      <c r="Z149" s="65"/>
    </row>
    <row r="150" ht="14.25" customHeight="1">
      <c r="B150" s="69"/>
      <c r="C150" s="70"/>
      <c r="D150" s="70"/>
      <c r="E150" s="77"/>
      <c r="L150" s="61"/>
      <c r="M150" s="62"/>
      <c r="N150" s="63"/>
      <c r="O150" s="62"/>
      <c r="P150" s="63"/>
      <c r="Q150" s="62"/>
      <c r="R150" s="63"/>
      <c r="S150" s="68"/>
      <c r="T150" s="64"/>
      <c r="U150" s="68"/>
      <c r="V150" s="64"/>
      <c r="W150" s="68"/>
      <c r="X150" s="117"/>
      <c r="Y150" s="173"/>
      <c r="Z150" s="65"/>
    </row>
    <row r="151" ht="14.25" customHeight="1">
      <c r="B151" s="148" t="s">
        <v>968</v>
      </c>
      <c r="C151" s="183" t="s">
        <v>969</v>
      </c>
      <c r="D151" s="70"/>
      <c r="E151" s="70"/>
      <c r="L151" s="61"/>
      <c r="M151" s="62"/>
      <c r="N151" s="63"/>
      <c r="O151" s="62"/>
      <c r="P151" s="63"/>
      <c r="Q151" s="62"/>
      <c r="R151" s="63"/>
      <c r="S151" s="68">
        <v>0.0</v>
      </c>
      <c r="T151" s="64">
        <v>0.0</v>
      </c>
      <c r="U151" s="68">
        <v>3.0</v>
      </c>
      <c r="V151" s="64">
        <v>2.0</v>
      </c>
      <c r="W151" s="68">
        <f t="shared" ref="W151:W171" si="8">SUM(S151:V151)</f>
        <v>5</v>
      </c>
      <c r="X151" s="117"/>
      <c r="Y151" s="173"/>
      <c r="Z151" s="65"/>
    </row>
    <row r="152" ht="14.25" customHeight="1">
      <c r="B152" s="69" t="s">
        <v>970</v>
      </c>
      <c r="C152" s="214" t="s">
        <v>866</v>
      </c>
      <c r="D152" s="144" t="s">
        <v>971</v>
      </c>
      <c r="E152" s="144"/>
      <c r="L152" s="61"/>
      <c r="M152" s="62"/>
      <c r="N152" s="63"/>
      <c r="O152" s="62"/>
      <c r="P152" s="63"/>
      <c r="Q152" s="62"/>
      <c r="R152" s="63"/>
      <c r="S152" s="68">
        <v>0.0</v>
      </c>
      <c r="T152" s="64">
        <v>0.0</v>
      </c>
      <c r="U152" s="68">
        <v>0.0</v>
      </c>
      <c r="V152" s="64">
        <v>2.0</v>
      </c>
      <c r="W152" s="68">
        <f t="shared" si="8"/>
        <v>2</v>
      </c>
      <c r="X152" s="117"/>
      <c r="Y152" s="173"/>
      <c r="Z152" s="65"/>
    </row>
    <row r="153" ht="14.25" customHeight="1">
      <c r="B153" s="148" t="s">
        <v>403</v>
      </c>
      <c r="C153" s="70"/>
      <c r="D153" s="70" t="s">
        <v>972</v>
      </c>
      <c r="L153" s="61"/>
      <c r="M153" s="62"/>
      <c r="N153" s="63"/>
      <c r="O153" s="62"/>
      <c r="P153" s="63"/>
      <c r="Q153" s="62"/>
      <c r="R153" s="63"/>
      <c r="S153" s="68">
        <v>0.0</v>
      </c>
      <c r="T153" s="64">
        <v>0.0</v>
      </c>
      <c r="U153" s="68">
        <v>5.0</v>
      </c>
      <c r="V153" s="64">
        <v>9.0</v>
      </c>
      <c r="W153" s="68">
        <f t="shared" si="8"/>
        <v>14</v>
      </c>
      <c r="X153" s="117"/>
      <c r="Y153" s="173"/>
      <c r="Z153" s="65"/>
    </row>
    <row r="154" ht="14.25" customHeight="1">
      <c r="B154" s="148"/>
      <c r="C154" s="70"/>
      <c r="D154" s="70" t="s">
        <v>973</v>
      </c>
      <c r="L154" s="61"/>
      <c r="M154" s="62"/>
      <c r="N154" s="63"/>
      <c r="O154" s="62"/>
      <c r="P154" s="63"/>
      <c r="Q154" s="62"/>
      <c r="R154" s="63"/>
      <c r="S154" s="68">
        <v>2.0</v>
      </c>
      <c r="T154" s="64">
        <v>2.0</v>
      </c>
      <c r="U154" s="68">
        <v>25.0</v>
      </c>
      <c r="V154" s="64">
        <v>13.0</v>
      </c>
      <c r="W154" s="68">
        <f t="shared" si="8"/>
        <v>42</v>
      </c>
      <c r="X154" s="117"/>
      <c r="Y154" s="173"/>
      <c r="Z154" s="65"/>
    </row>
    <row r="155" ht="14.25" customHeight="1">
      <c r="B155" s="148"/>
      <c r="C155" s="70"/>
      <c r="D155" s="197" t="s">
        <v>974</v>
      </c>
      <c r="L155" s="61"/>
      <c r="M155" s="62"/>
      <c r="N155" s="63"/>
      <c r="O155" s="62"/>
      <c r="P155" s="63"/>
      <c r="Q155" s="62"/>
      <c r="R155" s="63"/>
      <c r="S155" s="68">
        <v>2.0</v>
      </c>
      <c r="T155" s="64">
        <v>0.0</v>
      </c>
      <c r="U155" s="68">
        <v>25.0</v>
      </c>
      <c r="V155" s="64">
        <v>7.0</v>
      </c>
      <c r="W155" s="68">
        <f t="shared" si="8"/>
        <v>34</v>
      </c>
      <c r="X155" s="117"/>
      <c r="Y155" s="173"/>
      <c r="Z155" s="65"/>
    </row>
    <row r="156" ht="14.25" customHeight="1">
      <c r="B156" s="148"/>
      <c r="C156" s="70"/>
      <c r="D156" s="70" t="s">
        <v>975</v>
      </c>
      <c r="E156" s="70"/>
      <c r="L156" s="61"/>
      <c r="M156" s="62"/>
      <c r="N156" s="63"/>
      <c r="O156" s="62"/>
      <c r="P156" s="63"/>
      <c r="Q156" s="62"/>
      <c r="R156" s="63"/>
      <c r="S156" s="68">
        <v>2.0</v>
      </c>
      <c r="T156" s="64">
        <v>0.0</v>
      </c>
      <c r="U156" s="68">
        <v>0.0</v>
      </c>
      <c r="V156" s="64">
        <v>1.0</v>
      </c>
      <c r="W156" s="68">
        <f t="shared" si="8"/>
        <v>3</v>
      </c>
      <c r="X156" s="117"/>
      <c r="Y156" s="173"/>
      <c r="Z156" s="65"/>
    </row>
    <row r="157" ht="14.25" customHeight="1">
      <c r="B157" s="148"/>
      <c r="C157" s="70"/>
      <c r="D157" s="70" t="s">
        <v>976</v>
      </c>
      <c r="E157" s="70"/>
      <c r="L157" s="61"/>
      <c r="M157" s="62"/>
      <c r="N157" s="63"/>
      <c r="O157" s="62"/>
      <c r="P157" s="63"/>
      <c r="Q157" s="62"/>
      <c r="R157" s="63"/>
      <c r="S157" s="68">
        <v>0.0</v>
      </c>
      <c r="T157" s="64">
        <v>0.0</v>
      </c>
      <c r="U157" s="68">
        <v>25.0</v>
      </c>
      <c r="V157" s="64">
        <v>6.0</v>
      </c>
      <c r="W157" s="68">
        <f t="shared" si="8"/>
        <v>31</v>
      </c>
      <c r="X157" s="117"/>
      <c r="Y157" s="173"/>
      <c r="Z157" s="65"/>
    </row>
    <row r="158" ht="14.25" customHeight="1">
      <c r="B158" s="148"/>
      <c r="C158" s="143"/>
      <c r="D158" s="197" t="s">
        <v>977</v>
      </c>
      <c r="L158" s="61"/>
      <c r="M158" s="62"/>
      <c r="N158" s="63"/>
      <c r="O158" s="62"/>
      <c r="P158" s="63"/>
      <c r="Q158" s="62"/>
      <c r="R158" s="63"/>
      <c r="S158" s="68">
        <v>0.0</v>
      </c>
      <c r="T158" s="64">
        <v>2.0</v>
      </c>
      <c r="U158" s="68">
        <v>0.0</v>
      </c>
      <c r="V158" s="64">
        <v>6.0</v>
      </c>
      <c r="W158" s="68">
        <f t="shared" si="8"/>
        <v>8</v>
      </c>
      <c r="X158" s="117"/>
      <c r="Y158" s="173"/>
      <c r="Z158" s="65"/>
    </row>
    <row r="159" ht="14.25" customHeight="1">
      <c r="B159" s="69" t="s">
        <v>978</v>
      </c>
      <c r="C159" s="214" t="s">
        <v>906</v>
      </c>
      <c r="D159" s="144" t="s">
        <v>979</v>
      </c>
      <c r="E159" s="143"/>
      <c r="L159" s="61"/>
      <c r="M159" s="62"/>
      <c r="N159" s="63"/>
      <c r="O159" s="62"/>
      <c r="P159" s="63"/>
      <c r="Q159" s="62"/>
      <c r="R159" s="63"/>
      <c r="S159" s="68">
        <v>0.0</v>
      </c>
      <c r="T159" s="64">
        <v>0.0</v>
      </c>
      <c r="U159" s="68">
        <v>3.0</v>
      </c>
      <c r="V159" s="64">
        <v>0.0</v>
      </c>
      <c r="W159" s="68">
        <f t="shared" si="8"/>
        <v>3</v>
      </c>
      <c r="X159" s="117"/>
      <c r="Y159" s="173"/>
      <c r="Z159" s="65"/>
    </row>
    <row r="160" ht="14.25" customHeight="1">
      <c r="B160" s="148"/>
      <c r="C160" s="70"/>
      <c r="D160" s="70" t="s">
        <v>972</v>
      </c>
      <c r="L160" s="61"/>
      <c r="M160" s="62"/>
      <c r="N160" s="63"/>
      <c r="O160" s="62"/>
      <c r="P160" s="63"/>
      <c r="Q160" s="62"/>
      <c r="R160" s="63"/>
      <c r="S160" s="68">
        <v>2.0</v>
      </c>
      <c r="T160" s="64">
        <v>2.0</v>
      </c>
      <c r="U160" s="68">
        <v>0.0</v>
      </c>
      <c r="V160" s="64">
        <v>1.0</v>
      </c>
      <c r="W160" s="68">
        <f t="shared" si="8"/>
        <v>5</v>
      </c>
      <c r="X160" s="117"/>
      <c r="Y160" s="173"/>
      <c r="Z160" s="65"/>
    </row>
    <row r="161" ht="14.25" customHeight="1">
      <c r="B161" s="148"/>
      <c r="C161" s="70"/>
      <c r="D161" s="70" t="s">
        <v>980</v>
      </c>
      <c r="L161" s="61"/>
      <c r="M161" s="62"/>
      <c r="N161" s="63"/>
      <c r="O161" s="62"/>
      <c r="P161" s="63"/>
      <c r="Q161" s="62"/>
      <c r="R161" s="63"/>
      <c r="S161" s="68">
        <v>2.0</v>
      </c>
      <c r="T161" s="64">
        <v>2.0</v>
      </c>
      <c r="U161" s="68">
        <v>1.0</v>
      </c>
      <c r="V161" s="64">
        <v>1.0</v>
      </c>
      <c r="W161" s="68">
        <f t="shared" si="8"/>
        <v>6</v>
      </c>
      <c r="X161" s="117"/>
      <c r="Y161" s="173"/>
      <c r="Z161" s="65"/>
    </row>
    <row r="162" ht="14.25" customHeight="1">
      <c r="B162" s="148"/>
      <c r="C162" s="70"/>
      <c r="D162" s="70" t="s">
        <v>981</v>
      </c>
      <c r="L162" s="61"/>
      <c r="M162" s="62"/>
      <c r="N162" s="63"/>
      <c r="O162" s="62"/>
      <c r="P162" s="63"/>
      <c r="Q162" s="62"/>
      <c r="R162" s="63"/>
      <c r="S162" s="68">
        <v>1.0</v>
      </c>
      <c r="T162" s="64">
        <v>1.0</v>
      </c>
      <c r="U162" s="68">
        <v>2.0</v>
      </c>
      <c r="V162" s="64">
        <v>1.0</v>
      </c>
      <c r="W162" s="68">
        <f t="shared" si="8"/>
        <v>5</v>
      </c>
      <c r="X162" s="117"/>
      <c r="Y162" s="173"/>
      <c r="Z162" s="65"/>
    </row>
    <row r="163" ht="14.25" customHeight="1">
      <c r="B163" s="69" t="s">
        <v>982</v>
      </c>
      <c r="C163" s="214" t="s">
        <v>924</v>
      </c>
      <c r="D163" s="183" t="s">
        <v>983</v>
      </c>
      <c r="E163" s="70"/>
      <c r="L163" s="61"/>
      <c r="M163" s="62"/>
      <c r="N163" s="63"/>
      <c r="O163" s="62"/>
      <c r="P163" s="63"/>
      <c r="Q163" s="62"/>
      <c r="R163" s="63"/>
      <c r="S163" s="68">
        <v>0.0</v>
      </c>
      <c r="T163" s="64">
        <v>0.0</v>
      </c>
      <c r="U163" s="68">
        <v>0.0</v>
      </c>
      <c r="V163" s="64">
        <v>0.0</v>
      </c>
      <c r="W163" s="68">
        <f t="shared" si="8"/>
        <v>0</v>
      </c>
      <c r="X163" s="117"/>
      <c r="Y163" s="173"/>
      <c r="Z163" s="65"/>
    </row>
    <row r="164" ht="14.25" customHeight="1">
      <c r="B164" s="69"/>
      <c r="C164" s="70"/>
      <c r="D164" s="168" t="s">
        <v>984</v>
      </c>
      <c r="L164" s="61"/>
      <c r="M164" s="62"/>
      <c r="N164" s="63"/>
      <c r="O164" s="62"/>
      <c r="P164" s="63"/>
      <c r="Q164" s="62"/>
      <c r="R164" s="63"/>
      <c r="S164" s="68">
        <v>0.0</v>
      </c>
      <c r="T164" s="64">
        <v>0.0</v>
      </c>
      <c r="U164" s="68">
        <v>0.0</v>
      </c>
      <c r="V164" s="64">
        <v>0.0</v>
      </c>
      <c r="W164" s="68">
        <f t="shared" si="8"/>
        <v>0</v>
      </c>
      <c r="X164" s="117"/>
      <c r="Y164" s="173"/>
      <c r="Z164" s="65"/>
    </row>
    <row r="165" ht="14.25" customHeight="1">
      <c r="B165" s="69" t="s">
        <v>403</v>
      </c>
      <c r="C165" s="70"/>
      <c r="D165" s="77" t="s">
        <v>133</v>
      </c>
      <c r="E165" s="77"/>
      <c r="L165" s="61"/>
      <c r="M165" s="62"/>
      <c r="N165" s="63"/>
      <c r="O165" s="62"/>
      <c r="P165" s="63"/>
      <c r="Q165" s="62"/>
      <c r="R165" s="63"/>
      <c r="S165" s="68">
        <v>0.0</v>
      </c>
      <c r="T165" s="64">
        <v>0.0</v>
      </c>
      <c r="U165" s="68">
        <v>0.0</v>
      </c>
      <c r="V165" s="64">
        <v>0.0</v>
      </c>
      <c r="W165" s="68">
        <f t="shared" si="8"/>
        <v>0</v>
      </c>
      <c r="X165" s="117"/>
      <c r="Y165" s="173"/>
      <c r="Z165" s="65"/>
    </row>
    <row r="166" ht="14.25" customHeight="1">
      <c r="B166" s="69"/>
      <c r="C166" s="70"/>
      <c r="D166" s="70" t="s">
        <v>985</v>
      </c>
      <c r="E166" s="70"/>
      <c r="L166" s="61"/>
      <c r="M166" s="62"/>
      <c r="N166" s="63"/>
      <c r="O166" s="62"/>
      <c r="P166" s="63"/>
      <c r="Q166" s="62"/>
      <c r="R166" s="63"/>
      <c r="S166" s="68">
        <v>0.0</v>
      </c>
      <c r="T166" s="64">
        <v>0.0</v>
      </c>
      <c r="U166" s="68">
        <v>0.0</v>
      </c>
      <c r="V166" s="64">
        <v>0.0</v>
      </c>
      <c r="W166" s="68">
        <f t="shared" si="8"/>
        <v>0</v>
      </c>
      <c r="X166" s="117"/>
      <c r="Y166" s="173"/>
      <c r="Z166" s="65"/>
    </row>
    <row r="167" ht="14.25" customHeight="1">
      <c r="B167" s="69"/>
      <c r="C167" s="70"/>
      <c r="D167" s="70" t="s">
        <v>986</v>
      </c>
      <c r="E167" s="70"/>
      <c r="L167" s="61"/>
      <c r="M167" s="62"/>
      <c r="N167" s="63"/>
      <c r="O167" s="62"/>
      <c r="P167" s="63"/>
      <c r="Q167" s="62"/>
      <c r="R167" s="63"/>
      <c r="S167" s="68">
        <v>0.0</v>
      </c>
      <c r="T167" s="64">
        <v>0.0</v>
      </c>
      <c r="U167" s="68">
        <v>0.0</v>
      </c>
      <c r="V167" s="64">
        <v>0.0</v>
      </c>
      <c r="W167" s="68">
        <f t="shared" si="8"/>
        <v>0</v>
      </c>
      <c r="X167" s="117"/>
      <c r="Y167" s="173"/>
      <c r="Z167" s="65"/>
    </row>
    <row r="168" ht="14.25" customHeight="1">
      <c r="B168" s="69"/>
      <c r="C168" s="70"/>
      <c r="D168" s="70" t="s">
        <v>1187</v>
      </c>
      <c r="E168" s="70"/>
      <c r="L168" s="61"/>
      <c r="M168" s="62"/>
      <c r="N168" s="63"/>
      <c r="O168" s="62"/>
      <c r="P168" s="63"/>
      <c r="Q168" s="62"/>
      <c r="R168" s="63"/>
      <c r="S168" s="68">
        <v>0.0</v>
      </c>
      <c r="T168" s="64">
        <v>0.0</v>
      </c>
      <c r="U168" s="68">
        <v>0.0</v>
      </c>
      <c r="V168" s="64">
        <v>0.0</v>
      </c>
      <c r="W168" s="68">
        <f t="shared" si="8"/>
        <v>0</v>
      </c>
      <c r="X168" s="117"/>
      <c r="Y168" s="173"/>
      <c r="Z168" s="65"/>
    </row>
    <row r="169" ht="14.25" customHeight="1">
      <c r="B169" s="69"/>
      <c r="C169" s="70"/>
      <c r="D169" s="70" t="s">
        <v>1188</v>
      </c>
      <c r="E169" s="70"/>
      <c r="L169" s="61"/>
      <c r="M169" s="62"/>
      <c r="N169" s="63"/>
      <c r="O169" s="62"/>
      <c r="P169" s="63"/>
      <c r="Q169" s="62"/>
      <c r="R169" s="63"/>
      <c r="S169" s="68">
        <v>0.0</v>
      </c>
      <c r="T169" s="64">
        <v>0.0</v>
      </c>
      <c r="U169" s="68">
        <v>0.0</v>
      </c>
      <c r="V169" s="64">
        <v>0.0</v>
      </c>
      <c r="W169" s="68">
        <f t="shared" si="8"/>
        <v>0</v>
      </c>
      <c r="X169" s="117"/>
      <c r="Y169" s="173"/>
      <c r="Z169" s="65"/>
    </row>
    <row r="170" ht="14.25" customHeight="1">
      <c r="B170" s="69"/>
      <c r="C170" s="70"/>
      <c r="D170" s="70" t="s">
        <v>997</v>
      </c>
      <c r="E170" s="70"/>
      <c r="L170" s="61"/>
      <c r="M170" s="62"/>
      <c r="N170" s="63"/>
      <c r="O170" s="62"/>
      <c r="P170" s="63"/>
      <c r="Q170" s="62"/>
      <c r="R170" s="63"/>
      <c r="S170" s="68">
        <v>0.0</v>
      </c>
      <c r="T170" s="64">
        <v>0.0</v>
      </c>
      <c r="U170" s="68">
        <v>0.0</v>
      </c>
      <c r="V170" s="64">
        <v>0.0</v>
      </c>
      <c r="W170" s="68">
        <f t="shared" si="8"/>
        <v>0</v>
      </c>
      <c r="X170" s="117"/>
      <c r="Y170" s="173"/>
      <c r="Z170" s="65"/>
    </row>
    <row r="171" ht="14.25" customHeight="1">
      <c r="B171" s="69"/>
      <c r="C171" s="70"/>
      <c r="D171" s="70" t="s">
        <v>998</v>
      </c>
      <c r="E171" s="70"/>
      <c r="L171" s="61"/>
      <c r="M171" s="62"/>
      <c r="N171" s="63"/>
      <c r="O171" s="62"/>
      <c r="P171" s="63"/>
      <c r="Q171" s="62"/>
      <c r="R171" s="63"/>
      <c r="S171" s="68">
        <v>0.0</v>
      </c>
      <c r="T171" s="64">
        <v>0.0</v>
      </c>
      <c r="U171" s="68">
        <v>0.0</v>
      </c>
      <c r="V171" s="64">
        <v>0.0</v>
      </c>
      <c r="W171" s="68">
        <f t="shared" si="8"/>
        <v>0</v>
      </c>
      <c r="X171" s="117"/>
      <c r="Y171" s="173"/>
      <c r="Z171" s="65"/>
    </row>
    <row r="172" ht="14.25" customHeight="1">
      <c r="B172" s="69"/>
      <c r="C172" s="70"/>
      <c r="D172" s="77"/>
      <c r="E172" s="70"/>
      <c r="L172" s="61"/>
      <c r="M172" s="62"/>
      <c r="N172" s="63"/>
      <c r="O172" s="62"/>
      <c r="P172" s="63"/>
      <c r="Q172" s="62"/>
      <c r="R172" s="63"/>
      <c r="S172" s="68"/>
      <c r="T172" s="64"/>
      <c r="U172" s="68"/>
      <c r="V172" s="64"/>
      <c r="W172" s="68"/>
      <c r="X172" s="117"/>
      <c r="Y172" s="173"/>
      <c r="Z172" s="65"/>
    </row>
    <row r="173" ht="14.25" customHeight="1">
      <c r="B173" s="148" t="s">
        <v>991</v>
      </c>
      <c r="C173" s="144" t="s">
        <v>992</v>
      </c>
      <c r="D173" s="144"/>
      <c r="E173" s="144"/>
      <c r="L173" s="61"/>
      <c r="M173" s="62"/>
      <c r="N173" s="63"/>
      <c r="O173" s="62"/>
      <c r="P173" s="63"/>
      <c r="Q173" s="62"/>
      <c r="R173" s="63"/>
      <c r="S173" s="68">
        <v>0.0</v>
      </c>
      <c r="T173" s="64">
        <v>0.0</v>
      </c>
      <c r="U173" s="68">
        <v>0.0</v>
      </c>
      <c r="V173" s="64">
        <v>122.0</v>
      </c>
      <c r="W173" s="68">
        <f t="shared" ref="W173:W183" si="9">SUM(S173:V173)</f>
        <v>122</v>
      </c>
      <c r="X173" s="117"/>
      <c r="Y173" s="173"/>
      <c r="Z173" s="65"/>
    </row>
    <row r="174" ht="14.25" customHeight="1">
      <c r="B174" s="69"/>
      <c r="C174" s="144"/>
      <c r="D174" s="144" t="s">
        <v>993</v>
      </c>
      <c r="E174" s="144"/>
      <c r="L174" s="61"/>
      <c r="M174" s="62"/>
      <c r="N174" s="63"/>
      <c r="O174" s="62"/>
      <c r="P174" s="63"/>
      <c r="Q174" s="62"/>
      <c r="R174" s="63"/>
      <c r="S174" s="68">
        <v>0.0</v>
      </c>
      <c r="T174" s="64">
        <v>0.0</v>
      </c>
      <c r="U174" s="68">
        <v>0.0</v>
      </c>
      <c r="V174" s="64">
        <v>0.0</v>
      </c>
      <c r="W174" s="68">
        <f t="shared" si="9"/>
        <v>0</v>
      </c>
      <c r="X174" s="117"/>
      <c r="Y174" s="173"/>
      <c r="Z174" s="65"/>
    </row>
    <row r="175" ht="14.25" customHeight="1">
      <c r="B175" s="148"/>
      <c r="C175" s="70"/>
      <c r="D175" s="70" t="s">
        <v>994</v>
      </c>
      <c r="L175" s="61"/>
      <c r="M175" s="62"/>
      <c r="N175" s="63"/>
      <c r="O175" s="62"/>
      <c r="P175" s="63"/>
      <c r="Q175" s="62"/>
      <c r="R175" s="63"/>
      <c r="S175" s="68">
        <v>0.0</v>
      </c>
      <c r="T175" s="64">
        <v>0.0</v>
      </c>
      <c r="U175" s="68">
        <v>0.0</v>
      </c>
      <c r="V175" s="64">
        <v>0.0</v>
      </c>
      <c r="W175" s="68">
        <f t="shared" si="9"/>
        <v>0</v>
      </c>
      <c r="X175" s="117"/>
      <c r="Y175" s="173"/>
      <c r="Z175" s="65"/>
    </row>
    <row r="176" ht="14.25" customHeight="1">
      <c r="B176" s="148"/>
      <c r="C176" s="144"/>
      <c r="D176" s="77" t="s">
        <v>133</v>
      </c>
      <c r="E176" s="70"/>
      <c r="L176" s="61"/>
      <c r="M176" s="62"/>
      <c r="N176" s="63"/>
      <c r="O176" s="62"/>
      <c r="P176" s="63"/>
      <c r="Q176" s="62"/>
      <c r="R176" s="63"/>
      <c r="S176" s="68">
        <v>0.0</v>
      </c>
      <c r="T176" s="64">
        <v>0.0</v>
      </c>
      <c r="U176" s="68">
        <v>0.0</v>
      </c>
      <c r="V176" s="64">
        <v>0.0</v>
      </c>
      <c r="W176" s="68">
        <f t="shared" si="9"/>
        <v>0</v>
      </c>
      <c r="X176" s="117"/>
      <c r="Y176" s="173"/>
      <c r="Z176" s="65"/>
    </row>
    <row r="177" ht="14.25" customHeight="1">
      <c r="B177" s="148"/>
      <c r="C177" s="144"/>
      <c r="D177" s="70" t="s">
        <v>985</v>
      </c>
      <c r="E177" s="70"/>
      <c r="L177" s="61"/>
      <c r="M177" s="62"/>
      <c r="N177" s="63"/>
      <c r="O177" s="62"/>
      <c r="P177" s="63"/>
      <c r="Q177" s="62"/>
      <c r="R177" s="63"/>
      <c r="S177" s="68">
        <v>0.0</v>
      </c>
      <c r="T177" s="64">
        <v>0.0</v>
      </c>
      <c r="U177" s="68">
        <v>0.0</v>
      </c>
      <c r="V177" s="64">
        <v>0.0</v>
      </c>
      <c r="W177" s="68">
        <f t="shared" si="9"/>
        <v>0</v>
      </c>
      <c r="X177" s="117"/>
      <c r="Y177" s="173"/>
      <c r="Z177" s="65"/>
    </row>
    <row r="178" ht="14.25" customHeight="1">
      <c r="B178" s="148"/>
      <c r="C178" s="144"/>
      <c r="D178" s="70" t="s">
        <v>986</v>
      </c>
      <c r="E178" s="70"/>
      <c r="L178" s="61"/>
      <c r="M178" s="62"/>
      <c r="N178" s="63"/>
      <c r="O178" s="62"/>
      <c r="P178" s="63"/>
      <c r="Q178" s="62"/>
      <c r="R178" s="63"/>
      <c r="S178" s="68">
        <v>0.0</v>
      </c>
      <c r="T178" s="64">
        <v>0.0</v>
      </c>
      <c r="U178" s="68">
        <v>0.0</v>
      </c>
      <c r="V178" s="64">
        <v>0.0</v>
      </c>
      <c r="W178" s="68">
        <f t="shared" si="9"/>
        <v>0</v>
      </c>
      <c r="X178" s="117"/>
      <c r="Y178" s="173"/>
      <c r="Z178" s="65"/>
    </row>
    <row r="179" ht="14.25" customHeight="1">
      <c r="B179" s="148"/>
      <c r="C179" s="144"/>
      <c r="D179" s="70" t="s">
        <v>995</v>
      </c>
      <c r="E179" s="70"/>
      <c r="L179" s="61"/>
      <c r="M179" s="62"/>
      <c r="N179" s="63"/>
      <c r="O179" s="62"/>
      <c r="P179" s="63"/>
      <c r="Q179" s="62"/>
      <c r="R179" s="63"/>
      <c r="S179" s="68">
        <v>0.0</v>
      </c>
      <c r="T179" s="64">
        <v>0.0</v>
      </c>
      <c r="U179" s="68">
        <v>0.0</v>
      </c>
      <c r="V179" s="64">
        <v>0.0</v>
      </c>
      <c r="W179" s="68">
        <f t="shared" si="9"/>
        <v>0</v>
      </c>
      <c r="X179" s="117"/>
      <c r="Y179" s="173"/>
      <c r="Z179" s="65"/>
    </row>
    <row r="180" ht="14.25" customHeight="1">
      <c r="B180" s="148"/>
      <c r="C180" s="144"/>
      <c r="D180" s="70" t="s">
        <v>996</v>
      </c>
      <c r="E180" s="70"/>
      <c r="L180" s="61"/>
      <c r="M180" s="62"/>
      <c r="N180" s="63"/>
      <c r="O180" s="62"/>
      <c r="P180" s="63"/>
      <c r="Q180" s="62"/>
      <c r="R180" s="63"/>
      <c r="S180" s="68">
        <v>0.0</v>
      </c>
      <c r="T180" s="64">
        <v>0.0</v>
      </c>
      <c r="U180" s="68">
        <v>0.0</v>
      </c>
      <c r="V180" s="64">
        <v>0.0</v>
      </c>
      <c r="W180" s="68">
        <f t="shared" si="9"/>
        <v>0</v>
      </c>
      <c r="X180" s="117"/>
      <c r="Y180" s="173"/>
      <c r="Z180" s="65"/>
    </row>
    <row r="181" ht="14.25" customHeight="1">
      <c r="B181" s="148"/>
      <c r="C181" s="144"/>
      <c r="D181" s="70" t="s">
        <v>997</v>
      </c>
      <c r="E181" s="70"/>
      <c r="L181" s="61"/>
      <c r="M181" s="62"/>
      <c r="N181" s="63"/>
      <c r="O181" s="62"/>
      <c r="P181" s="63"/>
      <c r="Q181" s="62"/>
      <c r="R181" s="63"/>
      <c r="S181" s="68">
        <v>0.0</v>
      </c>
      <c r="T181" s="64">
        <v>0.0</v>
      </c>
      <c r="U181" s="68">
        <v>0.0</v>
      </c>
      <c r="V181" s="64">
        <v>0.0</v>
      </c>
      <c r="W181" s="68">
        <f t="shared" si="9"/>
        <v>0</v>
      </c>
      <c r="X181" s="117"/>
      <c r="Y181" s="173"/>
      <c r="Z181" s="65"/>
    </row>
    <row r="182" ht="14.25" customHeight="1">
      <c r="B182" s="148"/>
      <c r="C182" s="144"/>
      <c r="D182" s="70" t="s">
        <v>998</v>
      </c>
      <c r="E182" s="70"/>
      <c r="L182" s="61"/>
      <c r="M182" s="62"/>
      <c r="N182" s="63"/>
      <c r="O182" s="62"/>
      <c r="P182" s="63"/>
      <c r="Q182" s="62"/>
      <c r="R182" s="63"/>
      <c r="S182" s="68">
        <v>0.0</v>
      </c>
      <c r="T182" s="64">
        <v>0.0</v>
      </c>
      <c r="U182" s="68">
        <v>0.0</v>
      </c>
      <c r="V182" s="64">
        <v>0.0</v>
      </c>
      <c r="W182" s="68">
        <f t="shared" si="9"/>
        <v>0</v>
      </c>
      <c r="X182" s="117"/>
      <c r="Y182" s="173"/>
      <c r="Z182" s="65"/>
    </row>
    <row r="183" ht="14.25" customHeight="1">
      <c r="B183" s="148"/>
      <c r="C183" s="144"/>
      <c r="D183" s="70" t="s">
        <v>999</v>
      </c>
      <c r="E183" s="70"/>
      <c r="L183" s="61"/>
      <c r="M183" s="62"/>
      <c r="N183" s="63"/>
      <c r="O183" s="62"/>
      <c r="P183" s="63"/>
      <c r="Q183" s="62"/>
      <c r="R183" s="63"/>
      <c r="S183" s="68">
        <v>0.0</v>
      </c>
      <c r="T183" s="64">
        <v>0.0</v>
      </c>
      <c r="U183" s="68">
        <v>0.0</v>
      </c>
      <c r="V183" s="64">
        <v>0.0</v>
      </c>
      <c r="W183" s="68">
        <f t="shared" si="9"/>
        <v>0</v>
      </c>
      <c r="X183" s="117"/>
      <c r="Y183" s="173"/>
      <c r="Z183" s="65"/>
    </row>
    <row r="184" ht="14.25" customHeight="1">
      <c r="B184" s="148"/>
      <c r="C184" s="144"/>
      <c r="D184" s="70"/>
      <c r="E184" s="70"/>
      <c r="L184" s="61"/>
      <c r="M184" s="62"/>
      <c r="N184" s="63"/>
      <c r="O184" s="62"/>
      <c r="P184" s="63"/>
      <c r="Q184" s="62"/>
      <c r="R184" s="63"/>
      <c r="S184" s="68"/>
      <c r="T184" s="64"/>
      <c r="U184" s="68"/>
      <c r="V184" s="64"/>
      <c r="W184" s="68"/>
      <c r="X184" s="117"/>
      <c r="Y184" s="173"/>
      <c r="Z184" s="65"/>
    </row>
    <row r="185" ht="14.25" customHeight="1">
      <c r="B185" s="69"/>
      <c r="C185" s="144"/>
      <c r="D185" s="144" t="s">
        <v>1000</v>
      </c>
      <c r="E185" s="144"/>
      <c r="L185" s="61"/>
      <c r="M185" s="62"/>
      <c r="N185" s="63"/>
      <c r="O185" s="62"/>
      <c r="P185" s="63"/>
      <c r="Q185" s="62"/>
      <c r="R185" s="63"/>
      <c r="S185" s="68">
        <v>0.0</v>
      </c>
      <c r="T185" s="64">
        <v>0.0</v>
      </c>
      <c r="U185" s="68">
        <v>0.0</v>
      </c>
      <c r="V185" s="64">
        <v>1.0</v>
      </c>
      <c r="W185" s="68">
        <f t="shared" ref="W185:W194" si="10">SUM(S185:V185)</f>
        <v>1</v>
      </c>
      <c r="X185" s="117"/>
      <c r="Y185" s="173"/>
      <c r="Z185" s="65"/>
    </row>
    <row r="186" ht="14.25" customHeight="1">
      <c r="B186" s="148"/>
      <c r="C186" s="70"/>
      <c r="D186" s="70" t="s">
        <v>1001</v>
      </c>
      <c r="L186" s="61"/>
      <c r="M186" s="62"/>
      <c r="N186" s="63"/>
      <c r="O186" s="62"/>
      <c r="P186" s="63"/>
      <c r="Q186" s="62"/>
      <c r="R186" s="63"/>
      <c r="S186" s="68">
        <v>3.0</v>
      </c>
      <c r="T186" s="64">
        <v>0.0</v>
      </c>
      <c r="U186" s="68">
        <v>0.0</v>
      </c>
      <c r="V186" s="64">
        <v>1.0</v>
      </c>
      <c r="W186" s="68">
        <f t="shared" si="10"/>
        <v>4</v>
      </c>
      <c r="X186" s="117"/>
      <c r="Y186" s="173"/>
      <c r="Z186" s="65"/>
    </row>
    <row r="187" ht="14.25" customHeight="1">
      <c r="B187" s="148"/>
      <c r="C187" s="144"/>
      <c r="D187" s="70" t="s">
        <v>1002</v>
      </c>
      <c r="E187" s="70"/>
      <c r="L187" s="61"/>
      <c r="M187" s="62"/>
      <c r="N187" s="63"/>
      <c r="O187" s="62"/>
      <c r="P187" s="63"/>
      <c r="Q187" s="62"/>
      <c r="R187" s="63"/>
      <c r="S187" s="68">
        <v>3.0</v>
      </c>
      <c r="T187" s="64">
        <v>0.0</v>
      </c>
      <c r="U187" s="68">
        <v>0.0</v>
      </c>
      <c r="V187" s="64">
        <v>0.0</v>
      </c>
      <c r="W187" s="68">
        <f t="shared" si="10"/>
        <v>3</v>
      </c>
      <c r="X187" s="117"/>
      <c r="Y187" s="173"/>
      <c r="Z187" s="65"/>
    </row>
    <row r="188" ht="14.25" customHeight="1">
      <c r="B188" s="148"/>
      <c r="C188" s="144"/>
      <c r="D188" s="70" t="s">
        <v>985</v>
      </c>
      <c r="E188" s="70"/>
      <c r="L188" s="61"/>
      <c r="M188" s="62"/>
      <c r="N188" s="63"/>
      <c r="O188" s="62"/>
      <c r="P188" s="63"/>
      <c r="Q188" s="62"/>
      <c r="R188" s="63"/>
      <c r="S188" s="68">
        <v>0.0</v>
      </c>
      <c r="T188" s="64">
        <v>0.0</v>
      </c>
      <c r="U188" s="68">
        <v>0.0</v>
      </c>
      <c r="V188" s="64">
        <v>0.0</v>
      </c>
      <c r="W188" s="68">
        <f t="shared" si="10"/>
        <v>0</v>
      </c>
      <c r="X188" s="117"/>
      <c r="Y188" s="173"/>
      <c r="Z188" s="65"/>
    </row>
    <row r="189" ht="14.25" customHeight="1">
      <c r="B189" s="148"/>
      <c r="C189" s="144"/>
      <c r="D189" s="70" t="s">
        <v>986</v>
      </c>
      <c r="E189" s="70"/>
      <c r="L189" s="61"/>
      <c r="M189" s="62"/>
      <c r="N189" s="63"/>
      <c r="O189" s="62"/>
      <c r="P189" s="63"/>
      <c r="Q189" s="62"/>
      <c r="R189" s="63"/>
      <c r="S189" s="68">
        <v>0.0</v>
      </c>
      <c r="T189" s="64">
        <v>0.0</v>
      </c>
      <c r="U189" s="68">
        <v>0.0</v>
      </c>
      <c r="V189" s="64">
        <v>0.0</v>
      </c>
      <c r="W189" s="68">
        <f t="shared" si="10"/>
        <v>0</v>
      </c>
      <c r="X189" s="117"/>
      <c r="Y189" s="173"/>
      <c r="Z189" s="65"/>
    </row>
    <row r="190" ht="14.25" customHeight="1">
      <c r="B190" s="148"/>
      <c r="C190" s="144"/>
      <c r="D190" s="70" t="s">
        <v>995</v>
      </c>
      <c r="E190" s="70"/>
      <c r="L190" s="61"/>
      <c r="M190" s="62"/>
      <c r="N190" s="63"/>
      <c r="O190" s="62"/>
      <c r="P190" s="63"/>
      <c r="Q190" s="62"/>
      <c r="R190" s="63"/>
      <c r="S190" s="68">
        <v>0.0</v>
      </c>
      <c r="T190" s="64">
        <v>0.0</v>
      </c>
      <c r="U190" s="68">
        <v>0.0</v>
      </c>
      <c r="V190" s="64">
        <v>0.0</v>
      </c>
      <c r="W190" s="68">
        <f t="shared" si="10"/>
        <v>0</v>
      </c>
      <c r="X190" s="117"/>
      <c r="Y190" s="173"/>
      <c r="Z190" s="65"/>
    </row>
    <row r="191" ht="14.25" customHeight="1">
      <c r="B191" s="148"/>
      <c r="C191" s="144"/>
      <c r="D191" s="70" t="s">
        <v>1003</v>
      </c>
      <c r="E191" s="70"/>
      <c r="L191" s="61"/>
      <c r="M191" s="62"/>
      <c r="N191" s="63"/>
      <c r="O191" s="62"/>
      <c r="P191" s="63"/>
      <c r="Q191" s="62"/>
      <c r="R191" s="63"/>
      <c r="S191" s="68">
        <v>0.0</v>
      </c>
      <c r="T191" s="64">
        <v>0.0</v>
      </c>
      <c r="U191" s="68">
        <v>0.0</v>
      </c>
      <c r="V191" s="64">
        <v>1.0</v>
      </c>
      <c r="W191" s="68">
        <f t="shared" si="10"/>
        <v>1</v>
      </c>
      <c r="X191" s="117"/>
      <c r="Y191" s="173"/>
      <c r="Z191" s="65"/>
    </row>
    <row r="192" ht="14.25" customHeight="1">
      <c r="B192" s="148"/>
      <c r="C192" s="144"/>
      <c r="D192" s="70" t="s">
        <v>998</v>
      </c>
      <c r="E192" s="70"/>
      <c r="L192" s="61"/>
      <c r="M192" s="62"/>
      <c r="N192" s="63"/>
      <c r="O192" s="62"/>
      <c r="P192" s="63"/>
      <c r="Q192" s="62"/>
      <c r="R192" s="63"/>
      <c r="S192" s="68">
        <v>0.0</v>
      </c>
      <c r="T192" s="64">
        <v>0.0</v>
      </c>
      <c r="U192" s="68">
        <v>0.0</v>
      </c>
      <c r="V192" s="64">
        <v>0.0</v>
      </c>
      <c r="W192" s="68">
        <f t="shared" si="10"/>
        <v>0</v>
      </c>
      <c r="X192" s="117"/>
      <c r="Y192" s="173"/>
      <c r="Z192" s="65"/>
    </row>
    <row r="193" ht="14.25" customHeight="1">
      <c r="B193" s="148"/>
      <c r="C193" s="144"/>
      <c r="D193" s="70" t="s">
        <v>999</v>
      </c>
      <c r="E193" s="70"/>
      <c r="L193" s="61"/>
      <c r="M193" s="62"/>
      <c r="N193" s="63"/>
      <c r="O193" s="62"/>
      <c r="P193" s="63"/>
      <c r="Q193" s="62"/>
      <c r="R193" s="63"/>
      <c r="S193" s="68">
        <v>0.0</v>
      </c>
      <c r="T193" s="64">
        <v>0.0</v>
      </c>
      <c r="U193" s="68">
        <v>0.0</v>
      </c>
      <c r="V193" s="64">
        <v>0.0</v>
      </c>
      <c r="W193" s="68">
        <f t="shared" si="10"/>
        <v>0</v>
      </c>
      <c r="X193" s="117"/>
      <c r="Y193" s="173"/>
      <c r="Z193" s="65"/>
    </row>
    <row r="194" ht="14.25" customHeight="1">
      <c r="B194" s="148"/>
      <c r="C194" s="144"/>
      <c r="D194" s="70" t="s">
        <v>1005</v>
      </c>
      <c r="E194" s="70"/>
      <c r="L194" s="61"/>
      <c r="M194" s="62"/>
      <c r="N194" s="63"/>
      <c r="O194" s="62"/>
      <c r="P194" s="63"/>
      <c r="Q194" s="62"/>
      <c r="R194" s="63"/>
      <c r="S194" s="68">
        <v>0.0</v>
      </c>
      <c r="T194" s="64">
        <v>0.0</v>
      </c>
      <c r="U194" s="68">
        <v>0.0</v>
      </c>
      <c r="V194" s="64">
        <v>0.0</v>
      </c>
      <c r="W194" s="68">
        <f t="shared" si="10"/>
        <v>0</v>
      </c>
      <c r="X194" s="117"/>
      <c r="Y194" s="173"/>
      <c r="Z194" s="65"/>
    </row>
    <row r="195" ht="14.25" customHeight="1">
      <c r="B195" s="148"/>
      <c r="C195" s="144"/>
      <c r="D195" s="70"/>
      <c r="E195" s="70"/>
      <c r="L195" s="61"/>
      <c r="M195" s="62"/>
      <c r="N195" s="63"/>
      <c r="O195" s="62"/>
      <c r="P195" s="63"/>
      <c r="Q195" s="62"/>
      <c r="R195" s="63"/>
      <c r="S195" s="68"/>
      <c r="T195" s="64"/>
      <c r="U195" s="68"/>
      <c r="V195" s="64"/>
      <c r="W195" s="68"/>
      <c r="X195" s="117"/>
      <c r="Y195" s="173"/>
      <c r="Z195" s="65"/>
    </row>
    <row r="196" ht="14.25" customHeight="1">
      <c r="B196" s="69"/>
      <c r="C196" s="144"/>
      <c r="D196" s="144" t="s">
        <v>1006</v>
      </c>
      <c r="E196" s="144"/>
      <c r="L196" s="61"/>
      <c r="M196" s="62"/>
      <c r="N196" s="63"/>
      <c r="O196" s="62"/>
      <c r="P196" s="63"/>
      <c r="Q196" s="62"/>
      <c r="R196" s="63"/>
      <c r="S196" s="68"/>
      <c r="T196" s="64"/>
      <c r="U196" s="68"/>
      <c r="V196" s="64"/>
      <c r="W196" s="68"/>
      <c r="X196" s="117"/>
      <c r="Y196" s="173"/>
      <c r="Z196" s="65"/>
    </row>
    <row r="197" ht="14.25" customHeight="1">
      <c r="B197" s="148"/>
      <c r="C197" s="70"/>
      <c r="D197" s="70" t="s">
        <v>1007</v>
      </c>
      <c r="L197" s="61"/>
      <c r="M197" s="62"/>
      <c r="N197" s="63"/>
      <c r="O197" s="62"/>
      <c r="P197" s="63"/>
      <c r="Q197" s="62"/>
      <c r="R197" s="63"/>
      <c r="S197" s="68">
        <v>13.0</v>
      </c>
      <c r="T197" s="64">
        <v>0.0</v>
      </c>
      <c r="U197" s="68">
        <v>0.0</v>
      </c>
      <c r="V197" s="64">
        <v>5.0</v>
      </c>
      <c r="W197" s="68">
        <f t="shared" ref="W197:W205" si="11">SUM(S197:V197)</f>
        <v>18</v>
      </c>
      <c r="X197" s="117"/>
      <c r="Y197" s="173"/>
      <c r="Z197" s="65"/>
    </row>
    <row r="198" ht="14.25" customHeight="1">
      <c r="B198" s="148"/>
      <c r="C198" s="144"/>
      <c r="D198" s="70" t="s">
        <v>1002</v>
      </c>
      <c r="E198" s="70"/>
      <c r="L198" s="61"/>
      <c r="M198" s="62"/>
      <c r="N198" s="63"/>
      <c r="O198" s="62"/>
      <c r="P198" s="63"/>
      <c r="Q198" s="62"/>
      <c r="R198" s="63"/>
      <c r="S198" s="68">
        <v>13.0</v>
      </c>
      <c r="T198" s="64">
        <v>0.0</v>
      </c>
      <c r="U198" s="68">
        <v>0.0</v>
      </c>
      <c r="V198" s="64">
        <v>0.0</v>
      </c>
      <c r="W198" s="68">
        <f t="shared" si="11"/>
        <v>13</v>
      </c>
      <c r="X198" s="117"/>
      <c r="Y198" s="173"/>
      <c r="Z198" s="65"/>
    </row>
    <row r="199" ht="14.25" customHeight="1">
      <c r="B199" s="148"/>
      <c r="C199" s="144"/>
      <c r="D199" s="70" t="s">
        <v>985</v>
      </c>
      <c r="E199" s="70"/>
      <c r="L199" s="61"/>
      <c r="M199" s="62"/>
      <c r="N199" s="63"/>
      <c r="O199" s="62"/>
      <c r="P199" s="63"/>
      <c r="Q199" s="62"/>
      <c r="R199" s="63"/>
      <c r="S199" s="68">
        <v>0.0</v>
      </c>
      <c r="T199" s="64">
        <v>0.0</v>
      </c>
      <c r="U199" s="68">
        <v>0.0</v>
      </c>
      <c r="V199" s="64">
        <v>0.0</v>
      </c>
      <c r="W199" s="68">
        <f t="shared" si="11"/>
        <v>0</v>
      </c>
      <c r="X199" s="117"/>
      <c r="Y199" s="173"/>
      <c r="Z199" s="65"/>
    </row>
    <row r="200" ht="14.25" customHeight="1">
      <c r="B200" s="148"/>
      <c r="C200" s="144"/>
      <c r="D200" s="70" t="s">
        <v>986</v>
      </c>
      <c r="E200" s="70"/>
      <c r="L200" s="61"/>
      <c r="M200" s="62"/>
      <c r="N200" s="63"/>
      <c r="O200" s="62"/>
      <c r="P200" s="63"/>
      <c r="Q200" s="62"/>
      <c r="R200" s="63"/>
      <c r="S200" s="68">
        <v>0.0</v>
      </c>
      <c r="T200" s="64">
        <v>0.0</v>
      </c>
      <c r="U200" s="68">
        <v>0.0</v>
      </c>
      <c r="V200" s="64">
        <v>0.0</v>
      </c>
      <c r="W200" s="68">
        <f t="shared" si="11"/>
        <v>0</v>
      </c>
      <c r="X200" s="117"/>
      <c r="Y200" s="173"/>
      <c r="Z200" s="65"/>
    </row>
    <row r="201" ht="14.25" customHeight="1">
      <c r="B201" s="148"/>
      <c r="C201" s="144"/>
      <c r="D201" s="70" t="s">
        <v>995</v>
      </c>
      <c r="E201" s="70"/>
      <c r="L201" s="61"/>
      <c r="M201" s="62"/>
      <c r="N201" s="63"/>
      <c r="O201" s="62"/>
      <c r="P201" s="63"/>
      <c r="Q201" s="62"/>
      <c r="R201" s="63"/>
      <c r="S201" s="68">
        <v>0.0</v>
      </c>
      <c r="T201" s="64">
        <v>0.0</v>
      </c>
      <c r="U201" s="68">
        <v>0.0</v>
      </c>
      <c r="V201" s="64">
        <v>0.0</v>
      </c>
      <c r="W201" s="68">
        <f t="shared" si="11"/>
        <v>0</v>
      </c>
      <c r="X201" s="117"/>
      <c r="Y201" s="173"/>
      <c r="Z201" s="65"/>
    </row>
    <row r="202" ht="14.25" customHeight="1">
      <c r="B202" s="148"/>
      <c r="C202" s="144"/>
      <c r="D202" s="70" t="s">
        <v>996</v>
      </c>
      <c r="E202" s="70"/>
      <c r="L202" s="61"/>
      <c r="M202" s="62"/>
      <c r="N202" s="63"/>
      <c r="O202" s="62"/>
      <c r="P202" s="63"/>
      <c r="Q202" s="62"/>
      <c r="R202" s="63"/>
      <c r="S202" s="68">
        <v>0.0</v>
      </c>
      <c r="T202" s="64">
        <v>0.0</v>
      </c>
      <c r="U202" s="68">
        <v>0.0</v>
      </c>
      <c r="V202" s="64">
        <v>4.0</v>
      </c>
      <c r="W202" s="68">
        <f t="shared" si="11"/>
        <v>4</v>
      </c>
      <c r="X202" s="117"/>
      <c r="Y202" s="173"/>
      <c r="Z202" s="65"/>
    </row>
    <row r="203" ht="14.25" customHeight="1">
      <c r="B203" s="148"/>
      <c r="C203" s="144"/>
      <c r="D203" s="70" t="s">
        <v>1008</v>
      </c>
      <c r="E203" s="70"/>
      <c r="L203" s="61"/>
      <c r="M203" s="62"/>
      <c r="N203" s="63"/>
      <c r="O203" s="62"/>
      <c r="P203" s="63"/>
      <c r="Q203" s="62"/>
      <c r="R203" s="63"/>
      <c r="S203" s="68">
        <v>0.0</v>
      </c>
      <c r="T203" s="64">
        <v>0.0</v>
      </c>
      <c r="U203" s="68">
        <v>0.0</v>
      </c>
      <c r="V203" s="64">
        <v>1.0</v>
      </c>
      <c r="W203" s="68">
        <f t="shared" si="11"/>
        <v>1</v>
      </c>
      <c r="X203" s="117"/>
      <c r="Y203" s="173"/>
      <c r="Z203" s="65"/>
    </row>
    <row r="204" ht="14.25" customHeight="1">
      <c r="B204" s="148"/>
      <c r="C204" s="144"/>
      <c r="D204" s="70" t="s">
        <v>998</v>
      </c>
      <c r="E204" s="70"/>
      <c r="L204" s="61"/>
      <c r="M204" s="62"/>
      <c r="N204" s="63"/>
      <c r="O204" s="62"/>
      <c r="P204" s="63"/>
      <c r="Q204" s="62"/>
      <c r="R204" s="63"/>
      <c r="S204" s="68">
        <v>0.0</v>
      </c>
      <c r="T204" s="64">
        <v>0.0</v>
      </c>
      <c r="U204" s="68">
        <v>0.0</v>
      </c>
      <c r="V204" s="64">
        <v>0.0</v>
      </c>
      <c r="W204" s="68">
        <f t="shared" si="11"/>
        <v>0</v>
      </c>
      <c r="X204" s="117"/>
      <c r="Y204" s="173"/>
      <c r="Z204" s="65"/>
    </row>
    <row r="205" ht="14.25" customHeight="1">
      <c r="B205" s="148"/>
      <c r="C205" s="144"/>
      <c r="D205" s="70" t="s">
        <v>999</v>
      </c>
      <c r="E205" s="70"/>
      <c r="L205" s="61"/>
      <c r="M205" s="62"/>
      <c r="N205" s="63"/>
      <c r="O205" s="62"/>
      <c r="P205" s="63"/>
      <c r="Q205" s="62"/>
      <c r="R205" s="63"/>
      <c r="S205" s="68">
        <v>0.0</v>
      </c>
      <c r="T205" s="64">
        <v>0.0</v>
      </c>
      <c r="U205" s="68">
        <v>0.0</v>
      </c>
      <c r="V205" s="64">
        <v>0.0</v>
      </c>
      <c r="W205" s="68">
        <f t="shared" si="11"/>
        <v>0</v>
      </c>
      <c r="X205" s="117"/>
      <c r="Y205" s="173"/>
      <c r="Z205" s="65"/>
    </row>
    <row r="206" ht="14.25" customHeight="1">
      <c r="B206" s="148"/>
      <c r="C206" s="144"/>
      <c r="D206" s="70"/>
      <c r="E206" s="70"/>
      <c r="L206" s="61"/>
      <c r="M206" s="62"/>
      <c r="N206" s="63"/>
      <c r="O206" s="62"/>
      <c r="P206" s="63"/>
      <c r="Q206" s="62"/>
      <c r="R206" s="63"/>
      <c r="S206" s="68"/>
      <c r="T206" s="64"/>
      <c r="U206" s="68"/>
      <c r="V206" s="64"/>
      <c r="W206" s="68"/>
      <c r="X206" s="117"/>
      <c r="Y206" s="173"/>
      <c r="Z206" s="65"/>
    </row>
    <row r="207" ht="14.25" customHeight="1">
      <c r="B207" s="69"/>
      <c r="C207" s="144"/>
      <c r="D207" s="144" t="s">
        <v>1012</v>
      </c>
      <c r="E207" s="144"/>
      <c r="L207" s="61"/>
      <c r="M207" s="62"/>
      <c r="N207" s="63"/>
      <c r="O207" s="62"/>
      <c r="P207" s="63"/>
      <c r="Q207" s="62"/>
      <c r="R207" s="63"/>
      <c r="S207" s="68"/>
      <c r="T207" s="64"/>
      <c r="U207" s="68"/>
      <c r="V207" s="64"/>
      <c r="W207" s="68"/>
      <c r="X207" s="117"/>
      <c r="Y207" s="173"/>
      <c r="Z207" s="65"/>
    </row>
    <row r="208" ht="14.25" customHeight="1">
      <c r="B208" s="148"/>
      <c r="C208" s="70"/>
      <c r="D208" s="70" t="s">
        <v>1013</v>
      </c>
      <c r="L208" s="61"/>
      <c r="M208" s="62"/>
      <c r="N208" s="63"/>
      <c r="O208" s="62"/>
      <c r="P208" s="63"/>
      <c r="Q208" s="62"/>
      <c r="R208" s="63"/>
      <c r="S208" s="68">
        <v>2.0</v>
      </c>
      <c r="T208" s="64">
        <v>0.0</v>
      </c>
      <c r="U208" s="68">
        <v>0.0</v>
      </c>
      <c r="V208" s="64">
        <v>1.0</v>
      </c>
      <c r="W208" s="68">
        <f t="shared" ref="W208:W216" si="12">SUM(S208:V208)</f>
        <v>3</v>
      </c>
      <c r="X208" s="117"/>
      <c r="Y208" s="173"/>
      <c r="Z208" s="65"/>
    </row>
    <row r="209" ht="14.25" customHeight="1">
      <c r="B209" s="148"/>
      <c r="C209" s="144"/>
      <c r="D209" s="70" t="s">
        <v>1002</v>
      </c>
      <c r="E209" s="70"/>
      <c r="L209" s="61"/>
      <c r="M209" s="62"/>
      <c r="N209" s="63"/>
      <c r="O209" s="62"/>
      <c r="P209" s="63"/>
      <c r="Q209" s="62"/>
      <c r="R209" s="63"/>
      <c r="S209" s="68">
        <v>0.0</v>
      </c>
      <c r="T209" s="64">
        <v>0.0</v>
      </c>
      <c r="U209" s="68">
        <v>0.0</v>
      </c>
      <c r="V209" s="64">
        <v>0.0</v>
      </c>
      <c r="W209" s="68">
        <f t="shared" si="12"/>
        <v>0</v>
      </c>
      <c r="X209" s="117"/>
      <c r="Y209" s="173"/>
      <c r="Z209" s="65"/>
    </row>
    <row r="210" ht="14.25" customHeight="1">
      <c r="B210" s="148"/>
      <c r="C210" s="144"/>
      <c r="D210" s="70" t="s">
        <v>985</v>
      </c>
      <c r="E210" s="70"/>
      <c r="L210" s="61"/>
      <c r="M210" s="62"/>
      <c r="N210" s="63"/>
      <c r="O210" s="62"/>
      <c r="P210" s="63"/>
      <c r="Q210" s="62"/>
      <c r="R210" s="63"/>
      <c r="S210" s="68">
        <v>0.0</v>
      </c>
      <c r="T210" s="64">
        <v>0.0</v>
      </c>
      <c r="U210" s="68">
        <v>0.0</v>
      </c>
      <c r="V210" s="64">
        <v>0.0</v>
      </c>
      <c r="W210" s="68">
        <f t="shared" si="12"/>
        <v>0</v>
      </c>
      <c r="X210" s="117"/>
      <c r="Y210" s="173"/>
      <c r="Z210" s="65"/>
    </row>
    <row r="211" ht="14.25" customHeight="1">
      <c r="B211" s="148"/>
      <c r="C211" s="144"/>
      <c r="D211" s="70" t="s">
        <v>986</v>
      </c>
      <c r="E211" s="70"/>
      <c r="L211" s="61"/>
      <c r="M211" s="62"/>
      <c r="N211" s="63"/>
      <c r="O211" s="62"/>
      <c r="P211" s="63"/>
      <c r="Q211" s="62"/>
      <c r="R211" s="63"/>
      <c r="S211" s="68">
        <v>0.0</v>
      </c>
      <c r="T211" s="64">
        <v>0.0</v>
      </c>
      <c r="U211" s="68">
        <v>0.0</v>
      </c>
      <c r="V211" s="64">
        <v>0.0</v>
      </c>
      <c r="W211" s="68">
        <f t="shared" si="12"/>
        <v>0</v>
      </c>
      <c r="X211" s="117"/>
      <c r="Y211" s="173"/>
      <c r="Z211" s="65"/>
    </row>
    <row r="212" ht="14.25" customHeight="1">
      <c r="B212" s="148"/>
      <c r="C212" s="144"/>
      <c r="D212" s="70" t="s">
        <v>995</v>
      </c>
      <c r="E212" s="70"/>
      <c r="L212" s="61"/>
      <c r="M212" s="62"/>
      <c r="N212" s="63"/>
      <c r="O212" s="62"/>
      <c r="P212" s="63"/>
      <c r="Q212" s="62"/>
      <c r="R212" s="63"/>
      <c r="S212" s="68">
        <v>0.0</v>
      </c>
      <c r="T212" s="64">
        <v>0.0</v>
      </c>
      <c r="U212" s="68">
        <v>0.0</v>
      </c>
      <c r="V212" s="64">
        <v>0.0</v>
      </c>
      <c r="W212" s="68">
        <f t="shared" si="12"/>
        <v>0</v>
      </c>
      <c r="X212" s="117"/>
      <c r="Y212" s="173"/>
      <c r="Z212" s="65"/>
    </row>
    <row r="213" ht="14.25" customHeight="1">
      <c r="B213" s="148"/>
      <c r="C213" s="144"/>
      <c r="D213" s="70" t="s">
        <v>996</v>
      </c>
      <c r="E213" s="70"/>
      <c r="L213" s="61"/>
      <c r="M213" s="62"/>
      <c r="N213" s="63"/>
      <c r="O213" s="62"/>
      <c r="P213" s="63"/>
      <c r="Q213" s="62"/>
      <c r="R213" s="63"/>
      <c r="S213" s="68">
        <v>0.0</v>
      </c>
      <c r="T213" s="64">
        <v>0.0</v>
      </c>
      <c r="U213" s="68">
        <v>0.0</v>
      </c>
      <c r="V213" s="64">
        <v>1.0</v>
      </c>
      <c r="W213" s="68">
        <f t="shared" si="12"/>
        <v>1</v>
      </c>
      <c r="X213" s="117"/>
      <c r="Y213" s="173"/>
      <c r="Z213" s="65"/>
    </row>
    <row r="214" ht="14.25" customHeight="1">
      <c r="B214" s="148"/>
      <c r="C214" s="144"/>
      <c r="D214" s="70" t="s">
        <v>1014</v>
      </c>
      <c r="E214" s="70"/>
      <c r="L214" s="61"/>
      <c r="M214" s="62"/>
      <c r="N214" s="63"/>
      <c r="O214" s="62"/>
      <c r="P214" s="63"/>
      <c r="Q214" s="62"/>
      <c r="R214" s="63"/>
      <c r="S214" s="68">
        <v>2.0</v>
      </c>
      <c r="T214" s="64">
        <v>0.0</v>
      </c>
      <c r="U214" s="68">
        <v>0.0</v>
      </c>
      <c r="V214" s="64">
        <v>0.0</v>
      </c>
      <c r="W214" s="68">
        <f t="shared" si="12"/>
        <v>2</v>
      </c>
      <c r="X214" s="117"/>
      <c r="Y214" s="173"/>
      <c r="Z214" s="65"/>
    </row>
    <row r="215" ht="14.25" customHeight="1">
      <c r="B215" s="148"/>
      <c r="C215" s="144"/>
      <c r="D215" s="70" t="s">
        <v>998</v>
      </c>
      <c r="E215" s="70"/>
      <c r="L215" s="61"/>
      <c r="M215" s="62"/>
      <c r="N215" s="63"/>
      <c r="O215" s="62"/>
      <c r="P215" s="63"/>
      <c r="Q215" s="62"/>
      <c r="R215" s="63"/>
      <c r="S215" s="68">
        <v>0.0</v>
      </c>
      <c r="T215" s="64">
        <v>0.0</v>
      </c>
      <c r="U215" s="68">
        <v>0.0</v>
      </c>
      <c r="V215" s="64">
        <v>0.0</v>
      </c>
      <c r="W215" s="68">
        <f t="shared" si="12"/>
        <v>0</v>
      </c>
      <c r="X215" s="117"/>
      <c r="Y215" s="173"/>
      <c r="Z215" s="65"/>
    </row>
    <row r="216" ht="14.25" customHeight="1">
      <c r="B216" s="148"/>
      <c r="C216" s="144"/>
      <c r="D216" s="70" t="s">
        <v>999</v>
      </c>
      <c r="E216" s="70"/>
      <c r="L216" s="61"/>
      <c r="M216" s="62"/>
      <c r="N216" s="63"/>
      <c r="O216" s="62"/>
      <c r="P216" s="63"/>
      <c r="Q216" s="62"/>
      <c r="R216" s="63"/>
      <c r="S216" s="68">
        <v>0.0</v>
      </c>
      <c r="T216" s="64">
        <v>0.0</v>
      </c>
      <c r="U216" s="68">
        <v>0.0</v>
      </c>
      <c r="V216" s="64">
        <v>0.0</v>
      </c>
      <c r="W216" s="68">
        <f t="shared" si="12"/>
        <v>0</v>
      </c>
      <c r="X216" s="117"/>
      <c r="Y216" s="173"/>
      <c r="Z216" s="65"/>
    </row>
    <row r="217" ht="14.25" customHeight="1">
      <c r="B217" s="148"/>
      <c r="C217" s="144"/>
      <c r="D217" s="70"/>
      <c r="E217" s="70"/>
      <c r="L217" s="61"/>
      <c r="M217" s="62"/>
      <c r="N217" s="63"/>
      <c r="O217" s="62"/>
      <c r="P217" s="63"/>
      <c r="Q217" s="62"/>
      <c r="R217" s="63"/>
      <c r="S217" s="68"/>
      <c r="T217" s="64"/>
      <c r="U217" s="68"/>
      <c r="V217" s="64"/>
      <c r="W217" s="68"/>
      <c r="X217" s="117"/>
      <c r="Y217" s="173"/>
      <c r="Z217" s="65"/>
    </row>
    <row r="218" ht="14.25" customHeight="1">
      <c r="B218" s="69"/>
      <c r="C218" s="144"/>
      <c r="D218" s="144" t="s">
        <v>1015</v>
      </c>
      <c r="E218" s="144"/>
      <c r="L218" s="61"/>
      <c r="M218" s="62"/>
      <c r="N218" s="63"/>
      <c r="O218" s="62"/>
      <c r="P218" s="63"/>
      <c r="Q218" s="62"/>
      <c r="R218" s="63"/>
      <c r="S218" s="68"/>
      <c r="T218" s="64"/>
      <c r="U218" s="68"/>
      <c r="V218" s="64"/>
      <c r="W218" s="68"/>
      <c r="X218" s="117"/>
      <c r="Y218" s="173"/>
      <c r="Z218" s="65"/>
    </row>
    <row r="219" ht="14.25" customHeight="1">
      <c r="B219" s="148"/>
      <c r="C219" s="70"/>
      <c r="D219" s="70" t="s">
        <v>1016</v>
      </c>
      <c r="L219" s="61"/>
      <c r="M219" s="62"/>
      <c r="N219" s="63"/>
      <c r="O219" s="62"/>
      <c r="P219" s="63"/>
      <c r="Q219" s="62"/>
      <c r="R219" s="63"/>
      <c r="S219" s="68">
        <v>0.0</v>
      </c>
      <c r="T219" s="64">
        <v>0.0</v>
      </c>
      <c r="U219" s="68">
        <v>0.0</v>
      </c>
      <c r="V219" s="64">
        <v>0.0</v>
      </c>
      <c r="W219" s="68">
        <f t="shared" ref="W219:W227" si="13">SUM(S219:V219)</f>
        <v>0</v>
      </c>
      <c r="X219" s="117"/>
      <c r="Y219" s="173"/>
      <c r="Z219" s="65"/>
    </row>
    <row r="220" ht="14.25" customHeight="1">
      <c r="B220" s="148"/>
      <c r="C220" s="144"/>
      <c r="D220" s="70" t="s">
        <v>1002</v>
      </c>
      <c r="E220" s="70"/>
      <c r="L220" s="61"/>
      <c r="M220" s="62"/>
      <c r="N220" s="63"/>
      <c r="O220" s="62"/>
      <c r="P220" s="63"/>
      <c r="Q220" s="62"/>
      <c r="R220" s="63"/>
      <c r="S220" s="68">
        <v>0.0</v>
      </c>
      <c r="T220" s="64">
        <v>0.0</v>
      </c>
      <c r="U220" s="68">
        <v>0.0</v>
      </c>
      <c r="V220" s="64">
        <v>0.0</v>
      </c>
      <c r="W220" s="68">
        <f t="shared" si="13"/>
        <v>0</v>
      </c>
      <c r="X220" s="117"/>
      <c r="Y220" s="173"/>
      <c r="Z220" s="65"/>
    </row>
    <row r="221" ht="14.25" customHeight="1">
      <c r="B221" s="148"/>
      <c r="C221" s="144"/>
      <c r="D221" s="70" t="s">
        <v>985</v>
      </c>
      <c r="E221" s="70"/>
      <c r="L221" s="61"/>
      <c r="M221" s="62"/>
      <c r="N221" s="63"/>
      <c r="O221" s="62"/>
      <c r="P221" s="63"/>
      <c r="Q221" s="62"/>
      <c r="R221" s="63"/>
      <c r="S221" s="68">
        <v>0.0</v>
      </c>
      <c r="T221" s="64">
        <v>0.0</v>
      </c>
      <c r="U221" s="68">
        <v>0.0</v>
      </c>
      <c r="V221" s="64">
        <v>0.0</v>
      </c>
      <c r="W221" s="68">
        <f t="shared" si="13"/>
        <v>0</v>
      </c>
      <c r="X221" s="117"/>
      <c r="Y221" s="173"/>
      <c r="Z221" s="65"/>
    </row>
    <row r="222" ht="14.25" customHeight="1">
      <c r="B222" s="148"/>
      <c r="C222" s="144"/>
      <c r="D222" s="70" t="s">
        <v>986</v>
      </c>
      <c r="E222" s="70"/>
      <c r="L222" s="61"/>
      <c r="M222" s="62"/>
      <c r="N222" s="63"/>
      <c r="O222" s="62"/>
      <c r="P222" s="63"/>
      <c r="Q222" s="62"/>
      <c r="R222" s="63"/>
      <c r="S222" s="68">
        <v>0.0</v>
      </c>
      <c r="T222" s="64">
        <v>0.0</v>
      </c>
      <c r="U222" s="68">
        <v>0.0</v>
      </c>
      <c r="V222" s="64">
        <v>0.0</v>
      </c>
      <c r="W222" s="68">
        <f t="shared" si="13"/>
        <v>0</v>
      </c>
      <c r="X222" s="117"/>
      <c r="Y222" s="173"/>
      <c r="Z222" s="65"/>
    </row>
    <row r="223" ht="14.25" customHeight="1">
      <c r="B223" s="148"/>
      <c r="C223" s="144"/>
      <c r="D223" s="70" t="s">
        <v>995</v>
      </c>
      <c r="E223" s="70"/>
      <c r="L223" s="61"/>
      <c r="M223" s="62"/>
      <c r="N223" s="63"/>
      <c r="O223" s="62"/>
      <c r="P223" s="63"/>
      <c r="Q223" s="62"/>
      <c r="R223" s="63"/>
      <c r="S223" s="68">
        <v>0.0</v>
      </c>
      <c r="T223" s="64">
        <v>0.0</v>
      </c>
      <c r="U223" s="68">
        <v>0.0</v>
      </c>
      <c r="V223" s="64">
        <v>0.0</v>
      </c>
      <c r="W223" s="68">
        <f t="shared" si="13"/>
        <v>0</v>
      </c>
      <c r="X223" s="117"/>
      <c r="Y223" s="173"/>
      <c r="Z223" s="65"/>
    </row>
    <row r="224" ht="14.25" customHeight="1">
      <c r="B224" s="148"/>
      <c r="C224" s="144"/>
      <c r="D224" s="70" t="s">
        <v>996</v>
      </c>
      <c r="E224" s="70"/>
      <c r="L224" s="61"/>
      <c r="M224" s="62"/>
      <c r="N224" s="63"/>
      <c r="O224" s="62"/>
      <c r="P224" s="63"/>
      <c r="Q224" s="62"/>
      <c r="R224" s="63"/>
      <c r="S224" s="68">
        <v>0.0</v>
      </c>
      <c r="T224" s="64">
        <v>0.0</v>
      </c>
      <c r="U224" s="68">
        <v>0.0</v>
      </c>
      <c r="V224" s="64">
        <v>0.0</v>
      </c>
      <c r="W224" s="68">
        <f t="shared" si="13"/>
        <v>0</v>
      </c>
      <c r="X224" s="117"/>
      <c r="Y224" s="173"/>
      <c r="Z224" s="65"/>
    </row>
    <row r="225" ht="14.25" customHeight="1">
      <c r="B225" s="148"/>
      <c r="C225" s="144"/>
      <c r="D225" s="70" t="s">
        <v>997</v>
      </c>
      <c r="E225" s="70"/>
      <c r="L225" s="61"/>
      <c r="M225" s="62"/>
      <c r="N225" s="63"/>
      <c r="O225" s="62"/>
      <c r="P225" s="63"/>
      <c r="Q225" s="62"/>
      <c r="R225" s="63"/>
      <c r="S225" s="68">
        <v>0.0</v>
      </c>
      <c r="T225" s="64">
        <v>0.0</v>
      </c>
      <c r="U225" s="68">
        <v>0.0</v>
      </c>
      <c r="V225" s="64">
        <v>0.0</v>
      </c>
      <c r="W225" s="68">
        <f t="shared" si="13"/>
        <v>0</v>
      </c>
      <c r="X225" s="117"/>
      <c r="Y225" s="173"/>
      <c r="Z225" s="65"/>
    </row>
    <row r="226" ht="14.25" customHeight="1">
      <c r="B226" s="148"/>
      <c r="C226" s="144"/>
      <c r="D226" s="70" t="s">
        <v>998</v>
      </c>
      <c r="E226" s="70"/>
      <c r="L226" s="61"/>
      <c r="M226" s="62"/>
      <c r="N226" s="63"/>
      <c r="O226" s="62"/>
      <c r="P226" s="63"/>
      <c r="Q226" s="62"/>
      <c r="R226" s="63"/>
      <c r="S226" s="68">
        <v>0.0</v>
      </c>
      <c r="T226" s="64">
        <v>0.0</v>
      </c>
      <c r="U226" s="68">
        <v>0.0</v>
      </c>
      <c r="V226" s="64">
        <v>0.0</v>
      </c>
      <c r="W226" s="68">
        <f t="shared" si="13"/>
        <v>0</v>
      </c>
      <c r="X226" s="117"/>
      <c r="Y226" s="173"/>
      <c r="Z226" s="65"/>
    </row>
    <row r="227" ht="14.25" customHeight="1">
      <c r="B227" s="148"/>
      <c r="C227" s="144"/>
      <c r="D227" s="70" t="s">
        <v>999</v>
      </c>
      <c r="E227" s="70"/>
      <c r="L227" s="61"/>
      <c r="M227" s="62"/>
      <c r="N227" s="63"/>
      <c r="O227" s="62"/>
      <c r="P227" s="63"/>
      <c r="Q227" s="62"/>
      <c r="R227" s="63"/>
      <c r="S227" s="68">
        <v>0.0</v>
      </c>
      <c r="T227" s="64">
        <v>0.0</v>
      </c>
      <c r="U227" s="68">
        <v>0.0</v>
      </c>
      <c r="V227" s="64">
        <v>0.0</v>
      </c>
      <c r="W227" s="68">
        <f t="shared" si="13"/>
        <v>0</v>
      </c>
      <c r="X227" s="117"/>
      <c r="Y227" s="173"/>
      <c r="Z227" s="65"/>
    </row>
    <row r="228" ht="14.25" customHeight="1">
      <c r="B228" s="148"/>
      <c r="C228" s="144"/>
      <c r="D228" s="70"/>
      <c r="E228" s="70"/>
      <c r="L228" s="61"/>
      <c r="M228" s="62"/>
      <c r="N228" s="63"/>
      <c r="O228" s="62"/>
      <c r="P228" s="63"/>
      <c r="Q228" s="62"/>
      <c r="R228" s="63"/>
      <c r="S228" s="68"/>
      <c r="T228" s="64"/>
      <c r="U228" s="68"/>
      <c r="V228" s="64"/>
      <c r="W228" s="68"/>
      <c r="X228" s="117"/>
      <c r="Y228" s="173"/>
      <c r="Z228" s="65"/>
    </row>
    <row r="229" ht="14.25" customHeight="1">
      <c r="B229" s="69"/>
      <c r="C229" s="144"/>
      <c r="D229" s="144" t="s">
        <v>1018</v>
      </c>
      <c r="E229" s="144"/>
      <c r="L229" s="61"/>
      <c r="M229" s="62"/>
      <c r="N229" s="63"/>
      <c r="O229" s="62"/>
      <c r="P229" s="63"/>
      <c r="Q229" s="62"/>
      <c r="R229" s="63"/>
      <c r="S229" s="68"/>
      <c r="T229" s="64"/>
      <c r="U229" s="68"/>
      <c r="V229" s="64"/>
      <c r="W229" s="68"/>
      <c r="X229" s="117"/>
      <c r="Y229" s="173"/>
      <c r="Z229" s="65"/>
    </row>
    <row r="230" ht="14.25" customHeight="1">
      <c r="B230" s="148"/>
      <c r="C230" s="70"/>
      <c r="D230" s="70" t="s">
        <v>1019</v>
      </c>
      <c r="L230" s="61"/>
      <c r="M230" s="62"/>
      <c r="N230" s="63"/>
      <c r="O230" s="62"/>
      <c r="P230" s="63"/>
      <c r="Q230" s="62"/>
      <c r="R230" s="63"/>
      <c r="S230" s="68">
        <v>0.0</v>
      </c>
      <c r="T230" s="64">
        <v>0.0</v>
      </c>
      <c r="U230" s="68">
        <v>0.0</v>
      </c>
      <c r="V230" s="64">
        <v>115.0</v>
      </c>
      <c r="W230" s="68">
        <f t="shared" ref="W230:W238" si="14">SUM(S230:V230)</f>
        <v>115</v>
      </c>
      <c r="X230" s="117"/>
      <c r="Y230" s="173"/>
      <c r="Z230" s="65"/>
    </row>
    <row r="231" ht="14.25" customHeight="1">
      <c r="B231" s="148"/>
      <c r="C231" s="144"/>
      <c r="D231" s="70" t="s">
        <v>1002</v>
      </c>
      <c r="E231" s="70"/>
      <c r="L231" s="61"/>
      <c r="M231" s="62"/>
      <c r="N231" s="63"/>
      <c r="O231" s="62"/>
      <c r="P231" s="63"/>
      <c r="Q231" s="62"/>
      <c r="R231" s="63"/>
      <c r="S231" s="68">
        <v>0.0</v>
      </c>
      <c r="T231" s="64">
        <v>0.0</v>
      </c>
      <c r="U231" s="68">
        <v>0.0</v>
      </c>
      <c r="V231" s="64">
        <v>0.0</v>
      </c>
      <c r="W231" s="68">
        <f t="shared" si="14"/>
        <v>0</v>
      </c>
      <c r="X231" s="117"/>
      <c r="Y231" s="173"/>
      <c r="Z231" s="65"/>
    </row>
    <row r="232" ht="14.25" customHeight="1">
      <c r="B232" s="148"/>
      <c r="C232" s="144"/>
      <c r="D232" s="70" t="s">
        <v>985</v>
      </c>
      <c r="E232" s="70"/>
      <c r="L232" s="61"/>
      <c r="M232" s="62"/>
      <c r="N232" s="63"/>
      <c r="O232" s="62"/>
      <c r="P232" s="63"/>
      <c r="Q232" s="62"/>
      <c r="R232" s="63"/>
      <c r="S232" s="68">
        <v>0.0</v>
      </c>
      <c r="T232" s="64">
        <v>0.0</v>
      </c>
      <c r="U232" s="68">
        <v>0.0</v>
      </c>
      <c r="V232" s="64">
        <v>0.0</v>
      </c>
      <c r="W232" s="68">
        <f t="shared" si="14"/>
        <v>0</v>
      </c>
      <c r="X232" s="117"/>
      <c r="Y232" s="173"/>
      <c r="Z232" s="65"/>
    </row>
    <row r="233" ht="14.25" customHeight="1">
      <c r="B233" s="148"/>
      <c r="C233" s="144"/>
      <c r="D233" s="70" t="s">
        <v>986</v>
      </c>
      <c r="E233" s="70"/>
      <c r="L233" s="61"/>
      <c r="M233" s="62"/>
      <c r="N233" s="63"/>
      <c r="O233" s="62"/>
      <c r="P233" s="63"/>
      <c r="Q233" s="62"/>
      <c r="R233" s="63"/>
      <c r="S233" s="68">
        <v>0.0</v>
      </c>
      <c r="T233" s="64">
        <v>0.0</v>
      </c>
      <c r="U233" s="68">
        <v>0.0</v>
      </c>
      <c r="V233" s="64">
        <v>0.0</v>
      </c>
      <c r="W233" s="68">
        <f t="shared" si="14"/>
        <v>0</v>
      </c>
      <c r="X233" s="117"/>
      <c r="Y233" s="173"/>
      <c r="Z233" s="65"/>
    </row>
    <row r="234" ht="14.25" customHeight="1">
      <c r="B234" s="148"/>
      <c r="C234" s="144"/>
      <c r="D234" s="70" t="s">
        <v>995</v>
      </c>
      <c r="E234" s="70"/>
      <c r="L234" s="61"/>
      <c r="M234" s="62"/>
      <c r="N234" s="63"/>
      <c r="O234" s="62"/>
      <c r="P234" s="63"/>
      <c r="Q234" s="62"/>
      <c r="R234" s="63"/>
      <c r="S234" s="68">
        <v>0.0</v>
      </c>
      <c r="T234" s="64">
        <v>0.0</v>
      </c>
      <c r="U234" s="68">
        <v>0.0</v>
      </c>
      <c r="V234" s="64">
        <v>0.0</v>
      </c>
      <c r="W234" s="68">
        <f t="shared" si="14"/>
        <v>0</v>
      </c>
      <c r="X234" s="117"/>
      <c r="Y234" s="173"/>
      <c r="Z234" s="65"/>
    </row>
    <row r="235" ht="14.25" customHeight="1">
      <c r="B235" s="148"/>
      <c r="C235" s="144"/>
      <c r="D235" s="70" t="s">
        <v>996</v>
      </c>
      <c r="E235" s="70"/>
      <c r="L235" s="61"/>
      <c r="M235" s="62"/>
      <c r="N235" s="63"/>
      <c r="O235" s="62"/>
      <c r="P235" s="63"/>
      <c r="Q235" s="62"/>
      <c r="R235" s="63"/>
      <c r="S235" s="68">
        <v>0.0</v>
      </c>
      <c r="T235" s="64">
        <v>0.0</v>
      </c>
      <c r="U235" s="68">
        <v>0.0</v>
      </c>
      <c r="V235" s="64">
        <v>50.0</v>
      </c>
      <c r="W235" s="68">
        <f t="shared" si="14"/>
        <v>50</v>
      </c>
      <c r="X235" s="117"/>
      <c r="Y235" s="173"/>
      <c r="Z235" s="65"/>
    </row>
    <row r="236" ht="14.25" customHeight="1">
      <c r="B236" s="148"/>
      <c r="C236" s="144"/>
      <c r="D236" s="70" t="s">
        <v>997</v>
      </c>
      <c r="E236" s="70"/>
      <c r="L236" s="61"/>
      <c r="M236" s="62"/>
      <c r="N236" s="63"/>
      <c r="O236" s="62"/>
      <c r="P236" s="63"/>
      <c r="Q236" s="62"/>
      <c r="R236" s="63"/>
      <c r="S236" s="68">
        <v>0.0</v>
      </c>
      <c r="T236" s="64">
        <v>0.0</v>
      </c>
      <c r="U236" s="68">
        <v>0.0</v>
      </c>
      <c r="V236" s="64">
        <v>65.0</v>
      </c>
      <c r="W236" s="68">
        <f t="shared" si="14"/>
        <v>65</v>
      </c>
      <c r="X236" s="117"/>
      <c r="Y236" s="173"/>
      <c r="Z236" s="65"/>
    </row>
    <row r="237" ht="14.25" customHeight="1">
      <c r="B237" s="148"/>
      <c r="C237" s="144"/>
      <c r="D237" s="70" t="s">
        <v>998</v>
      </c>
      <c r="E237" s="70"/>
      <c r="L237" s="61"/>
      <c r="M237" s="62"/>
      <c r="N237" s="63"/>
      <c r="O237" s="62"/>
      <c r="P237" s="63"/>
      <c r="Q237" s="62"/>
      <c r="R237" s="63"/>
      <c r="S237" s="68">
        <v>0.0</v>
      </c>
      <c r="T237" s="64">
        <v>0.0</v>
      </c>
      <c r="U237" s="68">
        <v>0.0</v>
      </c>
      <c r="V237" s="64">
        <v>0.0</v>
      </c>
      <c r="W237" s="68">
        <f t="shared" si="14"/>
        <v>0</v>
      </c>
      <c r="X237" s="117"/>
      <c r="Y237" s="173"/>
      <c r="Z237" s="65"/>
    </row>
    <row r="238" ht="14.25" customHeight="1">
      <c r="B238" s="148"/>
      <c r="C238" s="144"/>
      <c r="D238" s="70" t="s">
        <v>999</v>
      </c>
      <c r="E238" s="70"/>
      <c r="L238" s="61"/>
      <c r="M238" s="62"/>
      <c r="N238" s="63"/>
      <c r="O238" s="62"/>
      <c r="P238" s="63"/>
      <c r="Q238" s="62"/>
      <c r="R238" s="63"/>
      <c r="S238" s="68">
        <v>0.0</v>
      </c>
      <c r="T238" s="64">
        <v>0.0</v>
      </c>
      <c r="U238" s="68">
        <v>0.0</v>
      </c>
      <c r="V238" s="64">
        <v>0.0</v>
      </c>
      <c r="W238" s="68">
        <f t="shared" si="14"/>
        <v>0</v>
      </c>
      <c r="X238" s="117"/>
      <c r="Y238" s="173"/>
      <c r="Z238" s="65"/>
    </row>
    <row r="239" ht="14.25" customHeight="1">
      <c r="B239" s="148"/>
      <c r="C239" s="144"/>
      <c r="D239" s="70"/>
      <c r="E239" s="70"/>
      <c r="L239" s="61"/>
      <c r="M239" s="62"/>
      <c r="N239" s="63"/>
      <c r="O239" s="62"/>
      <c r="P239" s="63"/>
      <c r="Q239" s="62"/>
      <c r="R239" s="63"/>
      <c r="S239" s="68"/>
      <c r="T239" s="64"/>
      <c r="U239" s="68"/>
      <c r="V239" s="64"/>
      <c r="W239" s="68"/>
      <c r="X239" s="117"/>
      <c r="Y239" s="173"/>
      <c r="Z239" s="65"/>
    </row>
    <row r="240" ht="14.25" customHeight="1">
      <c r="B240" s="556" t="s">
        <v>1023</v>
      </c>
      <c r="C240" s="144"/>
      <c r="D240" s="70"/>
      <c r="E240" s="70"/>
      <c r="L240" s="61"/>
      <c r="M240" s="62"/>
      <c r="N240" s="63"/>
      <c r="O240" s="62"/>
      <c r="P240" s="63"/>
      <c r="Q240" s="62"/>
      <c r="R240" s="63"/>
      <c r="S240" s="68"/>
      <c r="T240" s="64"/>
      <c r="U240" s="68"/>
      <c r="V240" s="64"/>
      <c r="W240" s="68"/>
      <c r="X240" s="117"/>
      <c r="Y240" s="173"/>
      <c r="Z240" s="65"/>
    </row>
    <row r="241" ht="14.25" customHeight="1">
      <c r="B241" s="148"/>
      <c r="C241" s="144"/>
      <c r="D241" s="70"/>
      <c r="E241" s="70"/>
      <c r="L241" s="61"/>
      <c r="M241" s="62"/>
      <c r="N241" s="63"/>
      <c r="O241" s="62"/>
      <c r="P241" s="63"/>
      <c r="Q241" s="62"/>
      <c r="R241" s="63"/>
      <c r="S241" s="68"/>
      <c r="T241" s="64"/>
      <c r="U241" s="68"/>
      <c r="V241" s="64"/>
      <c r="W241" s="68"/>
      <c r="X241" s="117"/>
      <c r="Y241" s="173"/>
      <c r="Z241" s="65"/>
    </row>
    <row r="242" ht="14.25" customHeight="1">
      <c r="B242" s="557" t="s">
        <v>1024</v>
      </c>
      <c r="C242" s="558" t="s">
        <v>866</v>
      </c>
      <c r="D242" s="194" t="s">
        <v>1025</v>
      </c>
      <c r="E242" s="183"/>
      <c r="L242" s="61"/>
      <c r="M242" s="62"/>
      <c r="N242" s="63"/>
      <c r="O242" s="62"/>
      <c r="P242" s="63"/>
      <c r="Q242" s="62"/>
      <c r="R242" s="63"/>
      <c r="S242" s="68"/>
      <c r="T242" s="64"/>
      <c r="U242" s="68"/>
      <c r="V242" s="64"/>
      <c r="W242" s="68"/>
      <c r="X242" s="117"/>
      <c r="Y242" s="173"/>
      <c r="Z242" s="65"/>
    </row>
    <row r="243" ht="14.25" customHeight="1">
      <c r="B243" s="148"/>
      <c r="C243" s="183"/>
      <c r="D243" s="154" t="s">
        <v>1026</v>
      </c>
      <c r="L243" s="61"/>
      <c r="M243" s="62"/>
      <c r="N243" s="63"/>
      <c r="O243" s="62"/>
      <c r="P243" s="63"/>
      <c r="Q243" s="62"/>
      <c r="R243" s="78"/>
      <c r="S243" s="68">
        <v>139.0</v>
      </c>
      <c r="T243" s="64">
        <v>628.0</v>
      </c>
      <c r="U243" s="68">
        <v>40.0</v>
      </c>
      <c r="V243" s="64">
        <v>240.0</v>
      </c>
      <c r="W243" s="68">
        <f t="shared" ref="W243:W248" si="15">SUM(S243:V243)</f>
        <v>1047</v>
      </c>
      <c r="X243" s="117"/>
      <c r="Y243" s="173"/>
      <c r="Z243" s="65"/>
    </row>
    <row r="244" ht="14.25" customHeight="1">
      <c r="B244" s="148"/>
      <c r="C244" s="183"/>
      <c r="D244" s="154" t="s">
        <v>1027</v>
      </c>
      <c r="L244" s="61"/>
      <c r="M244" s="62"/>
      <c r="N244" s="63"/>
      <c r="O244" s="62"/>
      <c r="P244" s="63"/>
      <c r="Q244" s="62"/>
      <c r="R244" s="78"/>
      <c r="S244" s="68">
        <v>325.0</v>
      </c>
      <c r="T244" s="64">
        <v>2052.0</v>
      </c>
      <c r="U244" s="68">
        <v>340.0</v>
      </c>
      <c r="V244" s="64">
        <v>1153.0</v>
      </c>
      <c r="W244" s="68">
        <f t="shared" si="15"/>
        <v>3870</v>
      </c>
      <c r="X244" s="117"/>
      <c r="Y244" s="173"/>
      <c r="Z244" s="65"/>
    </row>
    <row r="245" ht="14.25" customHeight="1">
      <c r="B245" s="148"/>
      <c r="C245" s="183"/>
      <c r="D245" s="154" t="s">
        <v>1028</v>
      </c>
      <c r="L245" s="61"/>
      <c r="M245" s="62"/>
      <c r="N245" s="63"/>
      <c r="O245" s="62"/>
      <c r="P245" s="63"/>
      <c r="Q245" s="62"/>
      <c r="R245" s="78"/>
      <c r="S245" s="68">
        <v>1805.0</v>
      </c>
      <c r="T245" s="64">
        <v>3997.0</v>
      </c>
      <c r="U245" s="68">
        <v>2964.0</v>
      </c>
      <c r="V245" s="64">
        <v>2520.0</v>
      </c>
      <c r="W245" s="68">
        <f t="shared" si="15"/>
        <v>11286</v>
      </c>
      <c r="X245" s="117"/>
      <c r="Y245" s="173"/>
      <c r="Z245" s="65"/>
    </row>
    <row r="246" ht="14.25" customHeight="1">
      <c r="B246" s="148"/>
      <c r="C246" s="183"/>
      <c r="D246" s="154" t="s">
        <v>1029</v>
      </c>
      <c r="L246" s="61"/>
      <c r="M246" s="62"/>
      <c r="N246" s="63"/>
      <c r="O246" s="62"/>
      <c r="P246" s="63"/>
      <c r="Q246" s="62"/>
      <c r="R246" s="78"/>
      <c r="S246" s="68">
        <v>0.0</v>
      </c>
      <c r="T246" s="64">
        <v>18.0</v>
      </c>
      <c r="U246" s="68">
        <v>1.0</v>
      </c>
      <c r="V246" s="64">
        <v>1.0</v>
      </c>
      <c r="W246" s="68">
        <f t="shared" si="15"/>
        <v>20</v>
      </c>
      <c r="X246" s="117"/>
      <c r="Y246" s="173"/>
      <c r="Z246" s="65"/>
    </row>
    <row r="247" ht="14.25" customHeight="1">
      <c r="B247" s="148"/>
      <c r="C247" s="183"/>
      <c r="D247" s="154" t="s">
        <v>1030</v>
      </c>
      <c r="L247" s="61"/>
      <c r="M247" s="62"/>
      <c r="N247" s="63"/>
      <c r="O247" s="62"/>
      <c r="P247" s="63"/>
      <c r="Q247" s="62"/>
      <c r="R247" s="78"/>
      <c r="S247" s="68">
        <v>379.0</v>
      </c>
      <c r="T247" s="64">
        <v>825.0</v>
      </c>
      <c r="U247" s="68">
        <v>520.0</v>
      </c>
      <c r="V247" s="64"/>
      <c r="W247" s="68">
        <f t="shared" si="15"/>
        <v>1724</v>
      </c>
      <c r="X247" s="117"/>
      <c r="Y247" s="173"/>
      <c r="Z247" s="65"/>
    </row>
    <row r="248" ht="14.25" customHeight="1">
      <c r="B248" s="148"/>
      <c r="C248" s="183"/>
      <c r="D248" s="154" t="s">
        <v>1031</v>
      </c>
      <c r="L248" s="61"/>
      <c r="M248" s="62"/>
      <c r="N248" s="63"/>
      <c r="O248" s="62"/>
      <c r="P248" s="63"/>
      <c r="Q248" s="62"/>
      <c r="R248" s="78"/>
      <c r="S248" s="68">
        <v>76.0</v>
      </c>
      <c r="T248" s="64">
        <v>0.0</v>
      </c>
      <c r="U248" s="68">
        <v>0.0</v>
      </c>
      <c r="V248" s="64"/>
      <c r="W248" s="68">
        <f t="shared" si="15"/>
        <v>76</v>
      </c>
      <c r="X248" s="117"/>
      <c r="Y248" s="173"/>
      <c r="Z248" s="65"/>
    </row>
    <row r="249" ht="14.25" customHeight="1">
      <c r="B249" s="148"/>
      <c r="C249" s="183"/>
      <c r="D249" s="77"/>
      <c r="E249" s="77"/>
      <c r="L249" s="61"/>
      <c r="M249" s="62"/>
      <c r="N249" s="63"/>
      <c r="O249" s="62"/>
      <c r="P249" s="63"/>
      <c r="Q249" s="62"/>
      <c r="R249" s="63"/>
      <c r="S249" s="68"/>
      <c r="T249" s="64"/>
      <c r="U249" s="68"/>
      <c r="V249" s="64"/>
      <c r="W249" s="68"/>
      <c r="X249" s="117"/>
      <c r="Y249" s="173"/>
      <c r="Z249" s="65"/>
    </row>
    <row r="250" ht="14.25" customHeight="1">
      <c r="B250" s="148"/>
      <c r="C250" s="555" t="s">
        <v>906</v>
      </c>
      <c r="D250" s="183" t="s">
        <v>1032</v>
      </c>
      <c r="E250" s="183"/>
      <c r="L250" s="61"/>
      <c r="M250" s="62"/>
      <c r="N250" s="63"/>
      <c r="O250" s="62"/>
      <c r="P250" s="63"/>
      <c r="Q250" s="62"/>
      <c r="R250" s="63"/>
      <c r="S250" s="68"/>
      <c r="T250" s="64"/>
      <c r="U250" s="68"/>
      <c r="V250" s="64"/>
      <c r="W250" s="68"/>
      <c r="X250" s="117"/>
      <c r="Y250" s="173"/>
      <c r="Z250" s="65"/>
    </row>
    <row r="251" ht="14.25" customHeight="1">
      <c r="B251" s="148"/>
      <c r="C251" s="183"/>
      <c r="D251" s="154" t="s">
        <v>1026</v>
      </c>
      <c r="L251" s="61"/>
      <c r="M251" s="62"/>
      <c r="N251" s="63"/>
      <c r="O251" s="62"/>
      <c r="P251" s="63"/>
      <c r="Q251" s="62"/>
      <c r="R251" s="63"/>
      <c r="S251" s="68">
        <v>138.0</v>
      </c>
      <c r="T251" s="64">
        <v>628.0</v>
      </c>
      <c r="U251" s="68">
        <v>40.0</v>
      </c>
      <c r="V251" s="64"/>
      <c r="W251" s="68">
        <f t="shared" ref="W251:W260" si="16">SUM(S251:V251)</f>
        <v>806</v>
      </c>
      <c r="X251" s="117"/>
      <c r="Y251" s="173"/>
      <c r="Z251" s="65"/>
    </row>
    <row r="252" ht="14.25" customHeight="1">
      <c r="B252" s="148"/>
      <c r="C252" s="183"/>
      <c r="D252" s="70" t="s">
        <v>915</v>
      </c>
      <c r="L252" s="61"/>
      <c r="M252" s="62"/>
      <c r="N252" s="63"/>
      <c r="O252" s="62"/>
      <c r="P252" s="63"/>
      <c r="Q252" s="62"/>
      <c r="R252" s="63"/>
      <c r="S252" s="68">
        <v>0.0</v>
      </c>
      <c r="T252" s="64">
        <v>0.0</v>
      </c>
      <c r="U252" s="68">
        <v>0.0</v>
      </c>
      <c r="V252" s="64"/>
      <c r="W252" s="68">
        <f t="shared" si="16"/>
        <v>0</v>
      </c>
      <c r="X252" s="117"/>
      <c r="Y252" s="173"/>
      <c r="Z252" s="65"/>
    </row>
    <row r="253" ht="14.25" customHeight="1">
      <c r="B253" s="148"/>
      <c r="C253" s="183"/>
      <c r="D253" s="70" t="s">
        <v>908</v>
      </c>
      <c r="L253" s="61"/>
      <c r="M253" s="62"/>
      <c r="N253" s="63"/>
      <c r="O253" s="62"/>
      <c r="P253" s="63"/>
      <c r="Q253" s="62"/>
      <c r="R253" s="63"/>
      <c r="S253" s="68">
        <v>10.0</v>
      </c>
      <c r="T253" s="64">
        <v>18.0</v>
      </c>
      <c r="U253" s="68">
        <v>9.0</v>
      </c>
      <c r="V253" s="64"/>
      <c r="W253" s="68">
        <f t="shared" si="16"/>
        <v>37</v>
      </c>
      <c r="X253" s="117"/>
      <c r="Y253" s="173"/>
      <c r="Z253" s="65"/>
    </row>
    <row r="254" ht="14.25" customHeight="1">
      <c r="B254" s="148"/>
      <c r="C254" s="183"/>
      <c r="D254" s="70" t="s">
        <v>909</v>
      </c>
      <c r="L254" s="61"/>
      <c r="M254" s="62"/>
      <c r="N254" s="63"/>
      <c r="O254" s="62"/>
      <c r="P254" s="63"/>
      <c r="Q254" s="62"/>
      <c r="R254" s="63"/>
      <c r="S254" s="68">
        <v>1.0</v>
      </c>
      <c r="T254" s="64">
        <v>3.0</v>
      </c>
      <c r="U254" s="68">
        <v>2.0</v>
      </c>
      <c r="V254" s="64"/>
      <c r="W254" s="68">
        <f t="shared" si="16"/>
        <v>6</v>
      </c>
      <c r="X254" s="117"/>
      <c r="Y254" s="173"/>
      <c r="Z254" s="65"/>
    </row>
    <row r="255" ht="14.25" customHeight="1">
      <c r="B255" s="148"/>
      <c r="C255" s="183"/>
      <c r="D255" s="91" t="s">
        <v>910</v>
      </c>
      <c r="L255" s="61"/>
      <c r="M255" s="62"/>
      <c r="N255" s="63"/>
      <c r="O255" s="62"/>
      <c r="P255" s="63"/>
      <c r="Q255" s="62"/>
      <c r="R255" s="63"/>
      <c r="S255" s="68">
        <v>2.0</v>
      </c>
      <c r="T255" s="64">
        <v>6.0</v>
      </c>
      <c r="U255" s="68">
        <v>0.0</v>
      </c>
      <c r="V255" s="64"/>
      <c r="W255" s="68">
        <f t="shared" si="16"/>
        <v>8</v>
      </c>
      <c r="X255" s="117"/>
      <c r="Y255" s="173"/>
      <c r="Z255" s="65"/>
    </row>
    <row r="256" ht="14.25" customHeight="1">
      <c r="B256" s="148"/>
      <c r="C256" s="183"/>
      <c r="D256" s="91" t="s">
        <v>913</v>
      </c>
      <c r="L256" s="61"/>
      <c r="M256" s="62"/>
      <c r="N256" s="63"/>
      <c r="O256" s="62"/>
      <c r="P256" s="63"/>
      <c r="Q256" s="62"/>
      <c r="R256" s="63"/>
      <c r="S256" s="68">
        <v>1.0</v>
      </c>
      <c r="T256" s="64">
        <v>4.0</v>
      </c>
      <c r="U256" s="68">
        <v>0.0</v>
      </c>
      <c r="V256" s="64"/>
      <c r="W256" s="68">
        <f t="shared" si="16"/>
        <v>5</v>
      </c>
      <c r="X256" s="117"/>
      <c r="Y256" s="173"/>
      <c r="Z256" s="65"/>
    </row>
    <row r="257" ht="14.25" customHeight="1">
      <c r="B257" s="148"/>
      <c r="C257" s="183"/>
      <c r="D257" s="91" t="s">
        <v>1033</v>
      </c>
      <c r="L257" s="61"/>
      <c r="M257" s="62"/>
      <c r="N257" s="63"/>
      <c r="O257" s="62"/>
      <c r="P257" s="63"/>
      <c r="Q257" s="62"/>
      <c r="R257" s="63"/>
      <c r="S257" s="68">
        <v>122.0</v>
      </c>
      <c r="T257" s="64">
        <v>595.0</v>
      </c>
      <c r="U257" s="68">
        <v>22.0</v>
      </c>
      <c r="V257" s="64"/>
      <c r="W257" s="68">
        <f t="shared" si="16"/>
        <v>739</v>
      </c>
      <c r="X257" s="117"/>
      <c r="Y257" s="173"/>
      <c r="Z257" s="65"/>
    </row>
    <row r="258" ht="14.25" customHeight="1">
      <c r="B258" s="148"/>
      <c r="C258" s="183"/>
      <c r="D258" s="70" t="s">
        <v>961</v>
      </c>
      <c r="L258" s="61"/>
      <c r="M258" s="62"/>
      <c r="N258" s="63"/>
      <c r="O258" s="62"/>
      <c r="P258" s="63"/>
      <c r="Q258" s="62"/>
      <c r="R258" s="63"/>
      <c r="S258" s="68">
        <v>0.0</v>
      </c>
      <c r="T258" s="64">
        <v>0.0</v>
      </c>
      <c r="U258" s="68">
        <v>0.0</v>
      </c>
      <c r="V258" s="64"/>
      <c r="W258" s="68">
        <f t="shared" si="16"/>
        <v>0</v>
      </c>
      <c r="X258" s="117"/>
      <c r="Y258" s="173"/>
      <c r="Z258" s="65"/>
    </row>
    <row r="259" ht="14.25" customHeight="1">
      <c r="B259" s="148"/>
      <c r="C259" s="183"/>
      <c r="D259" s="70" t="s">
        <v>963</v>
      </c>
      <c r="L259" s="61"/>
      <c r="M259" s="62"/>
      <c r="N259" s="63"/>
      <c r="O259" s="62"/>
      <c r="P259" s="63"/>
      <c r="Q259" s="62"/>
      <c r="R259" s="63"/>
      <c r="S259" s="68">
        <v>2.0</v>
      </c>
      <c r="T259" s="64">
        <v>2.0</v>
      </c>
      <c r="U259" s="68">
        <v>7.0</v>
      </c>
      <c r="V259" s="64"/>
      <c r="W259" s="68">
        <f t="shared" si="16"/>
        <v>11</v>
      </c>
      <c r="X259" s="117"/>
      <c r="Y259" s="173"/>
      <c r="Z259" s="65"/>
    </row>
    <row r="260" ht="14.25" customHeight="1">
      <c r="B260" s="148"/>
      <c r="C260" s="183"/>
      <c r="D260" s="77"/>
      <c r="E260" s="77" t="s">
        <v>1189</v>
      </c>
      <c r="L260" s="61"/>
      <c r="M260" s="62"/>
      <c r="N260" s="63"/>
      <c r="O260" s="62"/>
      <c r="P260" s="63"/>
      <c r="Q260" s="62"/>
      <c r="R260" s="63"/>
      <c r="S260" s="68">
        <v>2.0</v>
      </c>
      <c r="T260" s="64">
        <v>2.0</v>
      </c>
      <c r="U260" s="68">
        <v>7.0</v>
      </c>
      <c r="V260" s="64"/>
      <c r="W260" s="68">
        <f t="shared" si="16"/>
        <v>11</v>
      </c>
      <c r="X260" s="117"/>
      <c r="Y260" s="173"/>
      <c r="Z260" s="65"/>
    </row>
    <row r="261" ht="14.25" customHeight="1">
      <c r="B261" s="148"/>
      <c r="C261" s="183"/>
      <c r="D261" s="77"/>
      <c r="E261" s="77"/>
      <c r="L261" s="61"/>
      <c r="M261" s="62"/>
      <c r="N261" s="63"/>
      <c r="O261" s="62"/>
      <c r="P261" s="63"/>
      <c r="Q261" s="62"/>
      <c r="R261" s="63"/>
      <c r="S261" s="68"/>
      <c r="T261" s="64"/>
      <c r="U261" s="68"/>
      <c r="V261" s="64"/>
      <c r="W261" s="68"/>
      <c r="X261" s="117"/>
      <c r="Y261" s="173"/>
      <c r="Z261" s="65"/>
    </row>
    <row r="262" ht="14.25" customHeight="1">
      <c r="B262" s="148"/>
      <c r="C262" s="183"/>
      <c r="D262" s="154" t="s">
        <v>1027</v>
      </c>
      <c r="E262" s="77"/>
      <c r="L262" s="61"/>
      <c r="M262" s="62"/>
      <c r="N262" s="63"/>
      <c r="O262" s="62"/>
      <c r="P262" s="63"/>
      <c r="Q262" s="62"/>
      <c r="R262" s="63"/>
      <c r="S262" s="68">
        <v>401.0</v>
      </c>
      <c r="T262" s="64">
        <v>2052.0</v>
      </c>
      <c r="U262" s="68">
        <v>340.0</v>
      </c>
      <c r="V262" s="64"/>
      <c r="W262" s="68">
        <f t="shared" ref="W262:W271" si="17">SUM(S262:V262)</f>
        <v>2793</v>
      </c>
      <c r="X262" s="117"/>
      <c r="Y262" s="173"/>
      <c r="Z262" s="65"/>
    </row>
    <row r="263" ht="14.25" customHeight="1">
      <c r="B263" s="148"/>
      <c r="C263" s="183"/>
      <c r="D263" s="70" t="s">
        <v>915</v>
      </c>
      <c r="E263" s="233"/>
      <c r="L263" s="61"/>
      <c r="M263" s="62"/>
      <c r="N263" s="63"/>
      <c r="O263" s="62"/>
      <c r="P263" s="63"/>
      <c r="Q263" s="62"/>
      <c r="R263" s="63"/>
      <c r="S263" s="68">
        <v>0.0</v>
      </c>
      <c r="T263" s="64">
        <v>0.0</v>
      </c>
      <c r="U263" s="68">
        <v>0.0</v>
      </c>
      <c r="V263" s="64"/>
      <c r="W263" s="68">
        <f t="shared" si="17"/>
        <v>0</v>
      </c>
      <c r="X263" s="117"/>
      <c r="Y263" s="173"/>
      <c r="Z263" s="65"/>
    </row>
    <row r="264" ht="14.25" customHeight="1">
      <c r="B264" s="148"/>
      <c r="C264" s="183"/>
      <c r="D264" s="70" t="s">
        <v>908</v>
      </c>
      <c r="E264" s="77"/>
      <c r="L264" s="61"/>
      <c r="M264" s="62"/>
      <c r="N264" s="63"/>
      <c r="O264" s="62"/>
      <c r="P264" s="63"/>
      <c r="Q264" s="62"/>
      <c r="R264" s="63"/>
      <c r="S264" s="68">
        <v>58.0</v>
      </c>
      <c r="T264" s="64">
        <v>246.0</v>
      </c>
      <c r="U264" s="68">
        <v>180.0</v>
      </c>
      <c r="V264" s="64"/>
      <c r="W264" s="68">
        <f t="shared" si="17"/>
        <v>484</v>
      </c>
      <c r="X264" s="117"/>
      <c r="Y264" s="173"/>
      <c r="Z264" s="65"/>
    </row>
    <row r="265" ht="14.25" customHeight="1">
      <c r="B265" s="148"/>
      <c r="C265" s="183"/>
      <c r="D265" s="91" t="s">
        <v>909</v>
      </c>
      <c r="E265" s="233"/>
      <c r="L265" s="61"/>
      <c r="M265" s="62"/>
      <c r="N265" s="63"/>
      <c r="O265" s="62"/>
      <c r="P265" s="63"/>
      <c r="Q265" s="62"/>
      <c r="R265" s="63"/>
      <c r="S265" s="68">
        <v>21.0</v>
      </c>
      <c r="T265" s="64">
        <v>42.0</v>
      </c>
      <c r="U265" s="68">
        <v>30.0</v>
      </c>
      <c r="V265" s="64"/>
      <c r="W265" s="68">
        <f t="shared" si="17"/>
        <v>93</v>
      </c>
      <c r="X265" s="117"/>
      <c r="Y265" s="173"/>
      <c r="Z265" s="65"/>
    </row>
    <row r="266" ht="14.25" customHeight="1">
      <c r="B266" s="148"/>
      <c r="C266" s="183"/>
      <c r="D266" s="91" t="s">
        <v>910</v>
      </c>
      <c r="L266" s="61"/>
      <c r="M266" s="62"/>
      <c r="N266" s="63"/>
      <c r="O266" s="62"/>
      <c r="P266" s="63"/>
      <c r="Q266" s="62"/>
      <c r="R266" s="63"/>
      <c r="S266" s="68">
        <v>5.0</v>
      </c>
      <c r="T266" s="64">
        <v>13.0</v>
      </c>
      <c r="U266" s="68">
        <v>9.0</v>
      </c>
      <c r="V266" s="64"/>
      <c r="W266" s="68">
        <f t="shared" si="17"/>
        <v>27</v>
      </c>
      <c r="X266" s="117"/>
      <c r="Y266" s="173"/>
      <c r="Z266" s="65"/>
    </row>
    <row r="267" ht="14.25" customHeight="1">
      <c r="B267" s="148"/>
      <c r="C267" s="183"/>
      <c r="D267" s="91" t="s">
        <v>913</v>
      </c>
      <c r="L267" s="61"/>
      <c r="M267" s="62"/>
      <c r="N267" s="63"/>
      <c r="O267" s="62"/>
      <c r="P267" s="63"/>
      <c r="Q267" s="62"/>
      <c r="R267" s="63"/>
      <c r="S267" s="68">
        <v>7.0</v>
      </c>
      <c r="T267" s="64">
        <v>0.0</v>
      </c>
      <c r="U267" s="68">
        <v>1.0</v>
      </c>
      <c r="V267" s="64"/>
      <c r="W267" s="68">
        <f t="shared" si="17"/>
        <v>8</v>
      </c>
      <c r="X267" s="117"/>
      <c r="Y267" s="173"/>
      <c r="Z267" s="65"/>
    </row>
    <row r="268" ht="14.25" customHeight="1">
      <c r="B268" s="148"/>
      <c r="C268" s="183"/>
      <c r="D268" s="91" t="s">
        <v>1033</v>
      </c>
      <c r="L268" s="61"/>
      <c r="M268" s="62"/>
      <c r="N268" s="63"/>
      <c r="O268" s="62"/>
      <c r="P268" s="63"/>
      <c r="Q268" s="62"/>
      <c r="R268" s="63"/>
      <c r="S268" s="68">
        <v>295.0</v>
      </c>
      <c r="T268" s="64">
        <v>1672.0</v>
      </c>
      <c r="U268" s="68">
        <v>84.0</v>
      </c>
      <c r="V268" s="64"/>
      <c r="W268" s="68">
        <f t="shared" si="17"/>
        <v>2051</v>
      </c>
      <c r="X268" s="117"/>
      <c r="Y268" s="173"/>
      <c r="Z268" s="65"/>
    </row>
    <row r="269" ht="14.25" customHeight="1">
      <c r="B269" s="148"/>
      <c r="C269" s="183"/>
      <c r="D269" s="70" t="s">
        <v>961</v>
      </c>
      <c r="L269" s="61"/>
      <c r="M269" s="62"/>
      <c r="N269" s="63"/>
      <c r="O269" s="62"/>
      <c r="P269" s="63"/>
      <c r="Q269" s="62"/>
      <c r="R269" s="63"/>
      <c r="S269" s="68">
        <v>0.0</v>
      </c>
      <c r="T269" s="64">
        <v>0.0</v>
      </c>
      <c r="U269" s="68">
        <v>0.0</v>
      </c>
      <c r="V269" s="64"/>
      <c r="W269" s="68">
        <f t="shared" si="17"/>
        <v>0</v>
      </c>
      <c r="X269" s="117"/>
      <c r="Y269" s="173"/>
      <c r="Z269" s="65"/>
    </row>
    <row r="270" ht="14.25" customHeight="1">
      <c r="B270" s="148"/>
      <c r="C270" s="183"/>
      <c r="D270" s="70" t="s">
        <v>963</v>
      </c>
      <c r="L270" s="61"/>
      <c r="M270" s="62"/>
      <c r="N270" s="63"/>
      <c r="O270" s="62"/>
      <c r="P270" s="63"/>
      <c r="Q270" s="62"/>
      <c r="R270" s="63"/>
      <c r="S270" s="68">
        <v>15.0</v>
      </c>
      <c r="T270" s="64">
        <v>79.0</v>
      </c>
      <c r="U270" s="68">
        <v>36.0</v>
      </c>
      <c r="V270" s="64"/>
      <c r="W270" s="68">
        <f t="shared" si="17"/>
        <v>130</v>
      </c>
      <c r="X270" s="117"/>
      <c r="Y270" s="173"/>
      <c r="Z270" s="65"/>
    </row>
    <row r="271" ht="14.25" customHeight="1">
      <c r="B271" s="148"/>
      <c r="C271" s="183"/>
      <c r="D271" s="77"/>
      <c r="E271" s="118" t="s">
        <v>1034</v>
      </c>
      <c r="L271" s="61"/>
      <c r="M271" s="62"/>
      <c r="N271" s="63"/>
      <c r="O271" s="62"/>
      <c r="P271" s="63"/>
      <c r="Q271" s="62"/>
      <c r="R271" s="63"/>
      <c r="S271" s="68">
        <v>15.0</v>
      </c>
      <c r="T271" s="64">
        <v>79.0</v>
      </c>
      <c r="U271" s="68">
        <v>36.0</v>
      </c>
      <c r="V271" s="64"/>
      <c r="W271" s="68">
        <f t="shared" si="17"/>
        <v>130</v>
      </c>
      <c r="X271" s="117"/>
      <c r="Y271" s="173"/>
      <c r="Z271" s="65"/>
    </row>
    <row r="272" ht="14.25" customHeight="1">
      <c r="B272" s="148"/>
      <c r="C272" s="183"/>
      <c r="D272" s="77"/>
      <c r="L272" s="61"/>
      <c r="M272" s="62"/>
      <c r="N272" s="63"/>
      <c r="O272" s="62"/>
      <c r="P272" s="63"/>
      <c r="Q272" s="62"/>
      <c r="R272" s="63"/>
      <c r="S272" s="68"/>
      <c r="T272" s="64"/>
      <c r="U272" s="68"/>
      <c r="V272" s="64"/>
      <c r="W272" s="68"/>
      <c r="X272" s="117"/>
      <c r="Y272" s="173"/>
      <c r="Z272" s="65"/>
    </row>
    <row r="273" ht="14.25" customHeight="1">
      <c r="B273" s="148"/>
      <c r="C273" s="183"/>
      <c r="D273" s="154" t="s">
        <v>1035</v>
      </c>
      <c r="L273" s="61"/>
      <c r="M273" s="62"/>
      <c r="N273" s="63"/>
      <c r="O273" s="62"/>
      <c r="P273" s="63"/>
      <c r="Q273" s="62"/>
      <c r="R273" s="63"/>
      <c r="S273" s="68">
        <v>1805.0</v>
      </c>
      <c r="T273" s="64">
        <v>3997.0</v>
      </c>
      <c r="U273" s="68">
        <v>2964.0</v>
      </c>
      <c r="V273" s="64"/>
      <c r="W273" s="68">
        <f t="shared" ref="W273:W291" si="18">SUM(S273:V273)</f>
        <v>8766</v>
      </c>
      <c r="X273" s="117"/>
      <c r="Y273" s="173"/>
      <c r="Z273" s="65"/>
    </row>
    <row r="274" ht="14.25" customHeight="1">
      <c r="B274" s="148"/>
      <c r="C274" s="183"/>
      <c r="D274" s="70" t="s">
        <v>915</v>
      </c>
      <c r="L274" s="61"/>
      <c r="M274" s="62"/>
      <c r="N274" s="63"/>
      <c r="O274" s="62"/>
      <c r="P274" s="63"/>
      <c r="Q274" s="62"/>
      <c r="R274" s="63"/>
      <c r="S274" s="68">
        <v>0.0</v>
      </c>
      <c r="T274" s="64">
        <v>2776.0</v>
      </c>
      <c r="U274" s="68">
        <v>0.0</v>
      </c>
      <c r="V274" s="64"/>
      <c r="W274" s="68">
        <f t="shared" si="18"/>
        <v>2776</v>
      </c>
      <c r="X274" s="117"/>
      <c r="Y274" s="173"/>
      <c r="Z274" s="65"/>
    </row>
    <row r="275" ht="14.25" customHeight="1">
      <c r="B275" s="148"/>
      <c r="C275" s="183"/>
      <c r="D275" s="70" t="s">
        <v>908</v>
      </c>
      <c r="L275" s="61"/>
      <c r="M275" s="62"/>
      <c r="N275" s="63"/>
      <c r="O275" s="62"/>
      <c r="P275" s="63"/>
      <c r="Q275" s="62"/>
      <c r="R275" s="63"/>
      <c r="S275" s="68">
        <v>1149.0</v>
      </c>
      <c r="T275" s="64">
        <v>654.0</v>
      </c>
      <c r="U275" s="68">
        <v>1992.0</v>
      </c>
      <c r="V275" s="64"/>
      <c r="W275" s="68">
        <f t="shared" si="18"/>
        <v>3795</v>
      </c>
      <c r="X275" s="117"/>
      <c r="Y275" s="173"/>
      <c r="Z275" s="65"/>
    </row>
    <row r="276" ht="14.25" customHeight="1">
      <c r="B276" s="148"/>
      <c r="C276" s="183"/>
      <c r="D276" s="91" t="s">
        <v>909</v>
      </c>
      <c r="E276" s="77"/>
      <c r="L276" s="61"/>
      <c r="M276" s="62"/>
      <c r="N276" s="63"/>
      <c r="O276" s="62"/>
      <c r="P276" s="63"/>
      <c r="Q276" s="62"/>
      <c r="R276" s="63"/>
      <c r="S276" s="68">
        <v>398.0</v>
      </c>
      <c r="T276" s="64">
        <v>60.0</v>
      </c>
      <c r="U276" s="68">
        <v>656.0</v>
      </c>
      <c r="V276" s="64"/>
      <c r="W276" s="68">
        <f t="shared" si="18"/>
        <v>1114</v>
      </c>
      <c r="X276" s="117"/>
      <c r="Y276" s="173"/>
      <c r="Z276" s="65"/>
    </row>
    <row r="277" ht="14.25" customHeight="1">
      <c r="B277" s="148"/>
      <c r="C277" s="183"/>
      <c r="D277" s="91" t="s">
        <v>910</v>
      </c>
      <c r="E277" s="77"/>
      <c r="L277" s="61"/>
      <c r="M277" s="62"/>
      <c r="N277" s="63"/>
      <c r="O277" s="62"/>
      <c r="P277" s="63"/>
      <c r="Q277" s="62"/>
      <c r="R277" s="63"/>
      <c r="S277" s="68">
        <v>34.0</v>
      </c>
      <c r="T277" s="64">
        <v>102.0</v>
      </c>
      <c r="U277" s="68">
        <v>34.0</v>
      </c>
      <c r="V277" s="64"/>
      <c r="W277" s="68">
        <f t="shared" si="18"/>
        <v>170</v>
      </c>
      <c r="X277" s="117"/>
      <c r="Y277" s="173"/>
      <c r="Z277" s="65"/>
    </row>
    <row r="278" ht="14.25" customHeight="1">
      <c r="B278" s="148"/>
      <c r="C278" s="183"/>
      <c r="D278" s="91" t="s">
        <v>913</v>
      </c>
      <c r="E278" s="233"/>
      <c r="L278" s="61"/>
      <c r="M278" s="62"/>
      <c r="N278" s="63"/>
      <c r="O278" s="62"/>
      <c r="P278" s="63"/>
      <c r="Q278" s="62"/>
      <c r="R278" s="63"/>
      <c r="S278" s="68">
        <v>54.0</v>
      </c>
      <c r="T278" s="64">
        <v>0.0</v>
      </c>
      <c r="U278" s="68">
        <v>44.0</v>
      </c>
      <c r="V278" s="64"/>
      <c r="W278" s="68">
        <f t="shared" si="18"/>
        <v>98</v>
      </c>
      <c r="X278" s="117"/>
      <c r="Y278" s="173"/>
      <c r="Z278" s="65"/>
    </row>
    <row r="279" ht="14.25" customHeight="1">
      <c r="B279" s="148"/>
      <c r="C279" s="183"/>
      <c r="D279" s="70" t="s">
        <v>961</v>
      </c>
      <c r="E279" s="77"/>
      <c r="L279" s="61"/>
      <c r="M279" s="62"/>
      <c r="N279" s="63"/>
      <c r="O279" s="62"/>
      <c r="P279" s="63"/>
      <c r="Q279" s="62"/>
      <c r="R279" s="63"/>
      <c r="S279" s="68">
        <v>0.0</v>
      </c>
      <c r="T279" s="64">
        <v>0.0</v>
      </c>
      <c r="U279" s="68">
        <v>0.0</v>
      </c>
      <c r="V279" s="64"/>
      <c r="W279" s="68">
        <f t="shared" si="18"/>
        <v>0</v>
      </c>
      <c r="X279" s="117"/>
      <c r="Y279" s="173"/>
      <c r="Z279" s="65"/>
    </row>
    <row r="280" ht="14.25" customHeight="1">
      <c r="B280" s="148"/>
      <c r="C280" s="183"/>
      <c r="D280" s="70" t="s">
        <v>963</v>
      </c>
      <c r="E280" s="233"/>
      <c r="L280" s="61"/>
      <c r="M280" s="62"/>
      <c r="N280" s="63"/>
      <c r="O280" s="62"/>
      <c r="P280" s="63"/>
      <c r="Q280" s="62"/>
      <c r="R280" s="63"/>
      <c r="S280" s="68">
        <v>170.0</v>
      </c>
      <c r="T280" s="64">
        <v>405.0</v>
      </c>
      <c r="U280" s="68">
        <v>238.0</v>
      </c>
      <c r="V280" s="64"/>
      <c r="W280" s="68">
        <f t="shared" si="18"/>
        <v>813</v>
      </c>
      <c r="X280" s="117"/>
      <c r="Y280" s="173"/>
      <c r="Z280" s="65"/>
    </row>
    <row r="281" ht="14.25" customHeight="1">
      <c r="B281" s="148"/>
      <c r="C281" s="183"/>
      <c r="D281" s="154"/>
      <c r="E281" s="118" t="s">
        <v>1033</v>
      </c>
      <c r="L281" s="61"/>
      <c r="M281" s="62"/>
      <c r="N281" s="63"/>
      <c r="O281" s="62"/>
      <c r="P281" s="63"/>
      <c r="Q281" s="62"/>
      <c r="R281" s="63"/>
      <c r="S281" s="68">
        <v>111.0</v>
      </c>
      <c r="T281" s="64">
        <v>79.0</v>
      </c>
      <c r="U281" s="68">
        <v>20.0</v>
      </c>
      <c r="V281" s="64"/>
      <c r="W281" s="68">
        <f t="shared" si="18"/>
        <v>210</v>
      </c>
      <c r="X281" s="117"/>
      <c r="Y281" s="173"/>
      <c r="Z281" s="65"/>
    </row>
    <row r="282" ht="14.25" customHeight="1">
      <c r="B282" s="148"/>
      <c r="C282" s="183"/>
      <c r="D282" s="154"/>
      <c r="E282" s="118" t="s">
        <v>1034</v>
      </c>
      <c r="L282" s="61"/>
      <c r="M282" s="62"/>
      <c r="N282" s="63"/>
      <c r="O282" s="62"/>
      <c r="P282" s="63"/>
      <c r="Q282" s="62"/>
      <c r="R282" s="63"/>
      <c r="S282" s="68">
        <v>59.0</v>
      </c>
      <c r="T282" s="64">
        <v>326.0</v>
      </c>
      <c r="U282" s="68">
        <v>218.0</v>
      </c>
      <c r="V282" s="64"/>
      <c r="W282" s="68">
        <f t="shared" si="18"/>
        <v>603</v>
      </c>
      <c r="X282" s="117"/>
      <c r="Y282" s="173"/>
      <c r="Z282" s="65"/>
    </row>
    <row r="283" ht="14.25" customHeight="1">
      <c r="B283" s="148"/>
      <c r="C283" s="183"/>
      <c r="D283" s="70"/>
      <c r="L283" s="61"/>
      <c r="M283" s="62"/>
      <c r="N283" s="63"/>
      <c r="O283" s="62"/>
      <c r="P283" s="63"/>
      <c r="Q283" s="62"/>
      <c r="R283" s="63"/>
      <c r="S283" s="68"/>
      <c r="T283" s="64"/>
      <c r="U283" s="68"/>
      <c r="V283" s="64"/>
      <c r="W283" s="68">
        <f t="shared" si="18"/>
        <v>0</v>
      </c>
      <c r="X283" s="117"/>
      <c r="Y283" s="173"/>
      <c r="Z283" s="65"/>
    </row>
    <row r="284" ht="14.25" customHeight="1">
      <c r="B284" s="148"/>
      <c r="C284" s="183"/>
      <c r="D284" s="144" t="s">
        <v>1036</v>
      </c>
      <c r="L284" s="61"/>
      <c r="M284" s="62"/>
      <c r="N284" s="63"/>
      <c r="O284" s="62"/>
      <c r="P284" s="63"/>
      <c r="Q284" s="62"/>
      <c r="R284" s="63"/>
      <c r="S284" s="68">
        <v>0.0</v>
      </c>
      <c r="T284" s="64">
        <v>18.0</v>
      </c>
      <c r="U284" s="68">
        <v>1.0</v>
      </c>
      <c r="V284" s="64"/>
      <c r="W284" s="68">
        <f t="shared" si="18"/>
        <v>19</v>
      </c>
      <c r="X284" s="117"/>
      <c r="Y284" s="173"/>
      <c r="Z284" s="65"/>
    </row>
    <row r="285" ht="14.25" customHeight="1">
      <c r="B285" s="148"/>
      <c r="C285" s="183"/>
      <c r="D285" s="70" t="s">
        <v>915</v>
      </c>
      <c r="L285" s="61"/>
      <c r="M285" s="62"/>
      <c r="N285" s="63"/>
      <c r="O285" s="62"/>
      <c r="P285" s="63"/>
      <c r="Q285" s="62"/>
      <c r="R285" s="63"/>
      <c r="S285" s="68">
        <v>0.0</v>
      </c>
      <c r="T285" s="64">
        <v>0.0</v>
      </c>
      <c r="U285" s="68">
        <v>0.0</v>
      </c>
      <c r="V285" s="64"/>
      <c r="W285" s="68">
        <f t="shared" si="18"/>
        <v>0</v>
      </c>
      <c r="X285" s="117"/>
      <c r="Y285" s="173"/>
      <c r="Z285" s="65"/>
    </row>
    <row r="286" ht="14.25" customHeight="1">
      <c r="B286" s="148"/>
      <c r="C286" s="183"/>
      <c r="D286" s="70" t="s">
        <v>908</v>
      </c>
      <c r="L286" s="61"/>
      <c r="M286" s="62"/>
      <c r="N286" s="63"/>
      <c r="O286" s="62"/>
      <c r="P286" s="63"/>
      <c r="Q286" s="62"/>
      <c r="R286" s="63"/>
      <c r="S286" s="68">
        <v>0.0</v>
      </c>
      <c r="T286" s="64">
        <v>6.0</v>
      </c>
      <c r="U286" s="68">
        <v>1.0</v>
      </c>
      <c r="V286" s="64"/>
      <c r="W286" s="68">
        <f t="shared" si="18"/>
        <v>7</v>
      </c>
      <c r="X286" s="117"/>
      <c r="Y286" s="173"/>
      <c r="Z286" s="65"/>
    </row>
    <row r="287" ht="14.25" customHeight="1">
      <c r="B287" s="148"/>
      <c r="C287" s="183"/>
      <c r="D287" s="70" t="s">
        <v>909</v>
      </c>
      <c r="L287" s="61"/>
      <c r="M287" s="62"/>
      <c r="N287" s="63"/>
      <c r="O287" s="62"/>
      <c r="P287" s="63"/>
      <c r="Q287" s="62"/>
      <c r="R287" s="63"/>
      <c r="S287" s="68">
        <v>0.0</v>
      </c>
      <c r="T287" s="64">
        <v>0.0</v>
      </c>
      <c r="U287" s="68">
        <v>0.0</v>
      </c>
      <c r="V287" s="64"/>
      <c r="W287" s="68">
        <f t="shared" si="18"/>
        <v>0</v>
      </c>
      <c r="X287" s="117"/>
      <c r="Y287" s="173"/>
      <c r="Z287" s="65"/>
    </row>
    <row r="288" ht="14.25" customHeight="1">
      <c r="B288" s="148"/>
      <c r="C288" s="183"/>
      <c r="D288" s="70" t="s">
        <v>910</v>
      </c>
      <c r="L288" s="61"/>
      <c r="M288" s="62"/>
      <c r="N288" s="63"/>
      <c r="O288" s="62"/>
      <c r="P288" s="63"/>
      <c r="Q288" s="62"/>
      <c r="R288" s="63"/>
      <c r="S288" s="68">
        <v>0.0</v>
      </c>
      <c r="T288" s="64">
        <v>11.0</v>
      </c>
      <c r="U288" s="68">
        <v>0.0</v>
      </c>
      <c r="V288" s="64"/>
      <c r="W288" s="68">
        <f t="shared" si="18"/>
        <v>11</v>
      </c>
      <c r="X288" s="117"/>
      <c r="Y288" s="173"/>
      <c r="Z288" s="65"/>
    </row>
    <row r="289" ht="14.25" customHeight="1">
      <c r="B289" s="148"/>
      <c r="C289" s="183"/>
      <c r="D289" s="91" t="s">
        <v>913</v>
      </c>
      <c r="L289" s="61"/>
      <c r="M289" s="62"/>
      <c r="N289" s="63"/>
      <c r="O289" s="62"/>
      <c r="P289" s="63"/>
      <c r="Q289" s="62"/>
      <c r="R289" s="63"/>
      <c r="S289" s="68">
        <v>0.0</v>
      </c>
      <c r="T289" s="64">
        <v>1.0</v>
      </c>
      <c r="U289" s="68">
        <v>0.0</v>
      </c>
      <c r="V289" s="64"/>
      <c r="W289" s="68">
        <f t="shared" si="18"/>
        <v>1</v>
      </c>
      <c r="X289" s="117"/>
      <c r="Y289" s="173"/>
      <c r="Z289" s="65"/>
    </row>
    <row r="290" ht="14.25" customHeight="1">
      <c r="B290" s="148"/>
      <c r="C290" s="183"/>
      <c r="D290" s="91" t="s">
        <v>961</v>
      </c>
      <c r="L290" s="61"/>
      <c r="M290" s="62"/>
      <c r="N290" s="63"/>
      <c r="O290" s="62"/>
      <c r="P290" s="63"/>
      <c r="Q290" s="62"/>
      <c r="R290" s="63"/>
      <c r="S290" s="68">
        <v>0.0</v>
      </c>
      <c r="T290" s="64">
        <v>0.0</v>
      </c>
      <c r="U290" s="68">
        <v>0.0</v>
      </c>
      <c r="V290" s="64"/>
      <c r="W290" s="68">
        <f t="shared" si="18"/>
        <v>0</v>
      </c>
      <c r="X290" s="117"/>
      <c r="Y290" s="173"/>
      <c r="Z290" s="65"/>
    </row>
    <row r="291" ht="14.25" customHeight="1">
      <c r="B291" s="148"/>
      <c r="C291" s="183"/>
      <c r="D291" s="91" t="s">
        <v>963</v>
      </c>
      <c r="L291" s="61"/>
      <c r="M291" s="62"/>
      <c r="N291" s="63"/>
      <c r="O291" s="62"/>
      <c r="P291" s="63"/>
      <c r="Q291" s="62"/>
      <c r="R291" s="63"/>
      <c r="S291" s="68">
        <v>0.0</v>
      </c>
      <c r="T291" s="64">
        <v>0.0</v>
      </c>
      <c r="U291" s="68">
        <v>0.0</v>
      </c>
      <c r="V291" s="64"/>
      <c r="W291" s="68">
        <f t="shared" si="18"/>
        <v>0</v>
      </c>
      <c r="X291" s="117"/>
      <c r="Y291" s="173"/>
      <c r="Z291" s="65"/>
    </row>
    <row r="292" ht="14.25" customHeight="1">
      <c r="B292" s="148"/>
      <c r="C292" s="183"/>
      <c r="D292" s="70"/>
      <c r="L292" s="61"/>
      <c r="M292" s="62"/>
      <c r="N292" s="63"/>
      <c r="O292" s="62"/>
      <c r="P292" s="63"/>
      <c r="Q292" s="62"/>
      <c r="R292" s="63"/>
      <c r="S292" s="68"/>
      <c r="T292" s="64"/>
      <c r="U292" s="68"/>
      <c r="V292" s="64"/>
      <c r="W292" s="68"/>
      <c r="X292" s="117"/>
      <c r="Y292" s="173"/>
      <c r="Z292" s="65"/>
    </row>
    <row r="293" ht="14.25" customHeight="1">
      <c r="B293" s="148"/>
      <c r="C293" s="183"/>
      <c r="D293" s="70"/>
      <c r="E293" s="77"/>
      <c r="L293" s="61"/>
      <c r="M293" s="62"/>
      <c r="N293" s="63"/>
      <c r="O293" s="62"/>
      <c r="P293" s="63"/>
      <c r="Q293" s="62"/>
      <c r="R293" s="63"/>
      <c r="S293" s="68"/>
      <c r="T293" s="64"/>
      <c r="U293" s="68"/>
      <c r="V293" s="64"/>
      <c r="W293" s="68"/>
      <c r="X293" s="117"/>
      <c r="Y293" s="173"/>
      <c r="Z293" s="65"/>
    </row>
    <row r="294" ht="14.25" customHeight="1">
      <c r="B294" s="148"/>
      <c r="C294" s="183"/>
      <c r="D294" s="77"/>
      <c r="E294" s="77"/>
      <c r="L294" s="61"/>
      <c r="M294" s="62"/>
      <c r="N294" s="63"/>
      <c r="O294" s="62"/>
      <c r="P294" s="63"/>
      <c r="Q294" s="62"/>
      <c r="R294" s="63"/>
      <c r="S294" s="68"/>
      <c r="T294" s="64"/>
      <c r="U294" s="68"/>
      <c r="V294" s="64"/>
      <c r="W294" s="68"/>
      <c r="X294" s="117"/>
      <c r="Y294" s="173"/>
      <c r="Z294" s="65"/>
    </row>
    <row r="295" ht="14.25" customHeight="1">
      <c r="B295" s="148"/>
      <c r="C295" s="183"/>
      <c r="D295" s="154" t="s">
        <v>1030</v>
      </c>
      <c r="E295" s="233"/>
      <c r="L295" s="61"/>
      <c r="M295" s="62"/>
      <c r="N295" s="63"/>
      <c r="O295" s="62"/>
      <c r="P295" s="63"/>
      <c r="Q295" s="62"/>
      <c r="R295" s="63"/>
      <c r="S295" s="68">
        <v>379.0</v>
      </c>
      <c r="T295" s="64">
        <v>825.0</v>
      </c>
      <c r="U295" s="68">
        <v>520.0</v>
      </c>
      <c r="V295" s="64"/>
      <c r="W295" s="68">
        <f t="shared" ref="W295:W304" si="19">SUM(S295:V295)</f>
        <v>1724</v>
      </c>
      <c r="X295" s="117"/>
      <c r="Y295" s="173"/>
      <c r="Z295" s="65"/>
    </row>
    <row r="296" ht="14.25" customHeight="1">
      <c r="B296" s="148"/>
      <c r="C296" s="183"/>
      <c r="D296" s="70" t="s">
        <v>915</v>
      </c>
      <c r="E296" s="77"/>
      <c r="L296" s="61"/>
      <c r="M296" s="62"/>
      <c r="N296" s="63"/>
      <c r="O296" s="62"/>
      <c r="P296" s="63"/>
      <c r="Q296" s="62"/>
      <c r="R296" s="63"/>
      <c r="S296" s="68">
        <v>0.0</v>
      </c>
      <c r="T296" s="64">
        <v>0.0</v>
      </c>
      <c r="U296" s="68">
        <v>0.0</v>
      </c>
      <c r="V296" s="64"/>
      <c r="W296" s="68">
        <f t="shared" si="19"/>
        <v>0</v>
      </c>
      <c r="X296" s="117"/>
      <c r="Y296" s="173"/>
      <c r="Z296" s="65"/>
    </row>
    <row r="297" ht="14.25" customHeight="1">
      <c r="B297" s="148"/>
      <c r="C297" s="183"/>
      <c r="D297" s="70" t="s">
        <v>908</v>
      </c>
      <c r="E297" s="233"/>
      <c r="L297" s="61"/>
      <c r="M297" s="62"/>
      <c r="N297" s="63"/>
      <c r="O297" s="62"/>
      <c r="P297" s="63"/>
      <c r="Q297" s="62"/>
      <c r="R297" s="63"/>
      <c r="S297" s="68">
        <v>277.0</v>
      </c>
      <c r="T297" s="64">
        <v>609.0</v>
      </c>
      <c r="U297" s="68">
        <v>379.0</v>
      </c>
      <c r="V297" s="64"/>
      <c r="W297" s="68">
        <f t="shared" si="19"/>
        <v>1265</v>
      </c>
      <c r="X297" s="117"/>
      <c r="Y297" s="173"/>
      <c r="Z297" s="65"/>
    </row>
    <row r="298" ht="14.25" customHeight="1">
      <c r="B298" s="148"/>
      <c r="C298" s="183"/>
      <c r="D298" s="91" t="s">
        <v>909</v>
      </c>
      <c r="L298" s="61"/>
      <c r="M298" s="62"/>
      <c r="N298" s="63"/>
      <c r="O298" s="62"/>
      <c r="P298" s="63"/>
      <c r="Q298" s="62"/>
      <c r="R298" s="63"/>
      <c r="S298" s="68">
        <v>67.0</v>
      </c>
      <c r="T298" s="64">
        <v>120.0</v>
      </c>
      <c r="U298" s="68">
        <v>86.0</v>
      </c>
      <c r="V298" s="64"/>
      <c r="W298" s="68">
        <f t="shared" si="19"/>
        <v>273</v>
      </c>
      <c r="X298" s="117"/>
      <c r="Y298" s="173"/>
      <c r="Z298" s="65"/>
    </row>
    <row r="299" ht="14.25" customHeight="1">
      <c r="B299" s="148"/>
      <c r="C299" s="183"/>
      <c r="D299" s="91" t="s">
        <v>910</v>
      </c>
      <c r="L299" s="61"/>
      <c r="M299" s="62"/>
      <c r="N299" s="63"/>
      <c r="O299" s="62"/>
      <c r="P299" s="63"/>
      <c r="Q299" s="62"/>
      <c r="R299" s="63"/>
      <c r="S299" s="68">
        <v>5.0</v>
      </c>
      <c r="T299" s="64">
        <v>9.0</v>
      </c>
      <c r="U299" s="68">
        <v>7.0</v>
      </c>
      <c r="V299" s="64"/>
      <c r="W299" s="68">
        <f t="shared" si="19"/>
        <v>21</v>
      </c>
      <c r="X299" s="117"/>
      <c r="Y299" s="173"/>
      <c r="Z299" s="65"/>
    </row>
    <row r="300" ht="14.25" customHeight="1">
      <c r="B300" s="148"/>
      <c r="C300" s="183"/>
      <c r="D300" s="91" t="s">
        <v>913</v>
      </c>
      <c r="L300" s="61"/>
      <c r="M300" s="62"/>
      <c r="N300" s="63"/>
      <c r="O300" s="62"/>
      <c r="P300" s="63"/>
      <c r="Q300" s="62"/>
      <c r="R300" s="63"/>
      <c r="S300" s="68">
        <v>10.0</v>
      </c>
      <c r="T300" s="64">
        <v>13.0</v>
      </c>
      <c r="U300" s="68">
        <v>4.0</v>
      </c>
      <c r="V300" s="64"/>
      <c r="W300" s="68">
        <f t="shared" si="19"/>
        <v>27</v>
      </c>
      <c r="X300" s="117"/>
      <c r="Y300" s="173"/>
      <c r="Z300" s="65"/>
    </row>
    <row r="301" ht="14.25" customHeight="1">
      <c r="B301" s="148"/>
      <c r="C301" s="183"/>
      <c r="D301" s="91" t="s">
        <v>961</v>
      </c>
      <c r="L301" s="61"/>
      <c r="M301" s="62"/>
      <c r="N301" s="63"/>
      <c r="O301" s="62"/>
      <c r="P301" s="63"/>
      <c r="Q301" s="62"/>
      <c r="R301" s="63"/>
      <c r="S301" s="68">
        <v>0.0</v>
      </c>
      <c r="T301" s="64">
        <v>0.0</v>
      </c>
      <c r="U301" s="68">
        <v>0.0</v>
      </c>
      <c r="V301" s="64"/>
      <c r="W301" s="68">
        <f t="shared" si="19"/>
        <v>0</v>
      </c>
      <c r="X301" s="117"/>
      <c r="Y301" s="173"/>
      <c r="Z301" s="65"/>
    </row>
    <row r="302" ht="14.25" customHeight="1">
      <c r="B302" s="148"/>
      <c r="C302" s="183"/>
      <c r="D302" s="91" t="s">
        <v>963</v>
      </c>
      <c r="L302" s="61"/>
      <c r="M302" s="62"/>
      <c r="N302" s="63"/>
      <c r="O302" s="62"/>
      <c r="P302" s="63"/>
      <c r="Q302" s="62"/>
      <c r="R302" s="63"/>
      <c r="S302" s="68">
        <v>20.0</v>
      </c>
      <c r="T302" s="64">
        <v>74.0</v>
      </c>
      <c r="U302" s="68">
        <v>44.0</v>
      </c>
      <c r="V302" s="64"/>
      <c r="W302" s="68">
        <f t="shared" si="19"/>
        <v>138</v>
      </c>
      <c r="X302" s="117"/>
      <c r="Y302" s="173"/>
      <c r="Z302" s="65"/>
    </row>
    <row r="303" ht="14.25" customHeight="1">
      <c r="B303" s="148"/>
      <c r="C303" s="183"/>
      <c r="D303" s="91" t="s">
        <v>1037</v>
      </c>
      <c r="L303" s="61"/>
      <c r="M303" s="62"/>
      <c r="N303" s="63"/>
      <c r="O303" s="62"/>
      <c r="P303" s="63"/>
      <c r="Q303" s="62"/>
      <c r="R303" s="63"/>
      <c r="S303" s="68">
        <v>18.0</v>
      </c>
      <c r="T303" s="64">
        <v>70.0</v>
      </c>
      <c r="U303" s="68">
        <v>41.0</v>
      </c>
      <c r="V303" s="64"/>
      <c r="W303" s="68">
        <f t="shared" si="19"/>
        <v>129</v>
      </c>
      <c r="X303" s="117"/>
      <c r="Y303" s="173"/>
      <c r="Z303" s="65"/>
    </row>
    <row r="304" ht="14.25" customHeight="1">
      <c r="B304" s="148"/>
      <c r="C304" s="183"/>
      <c r="D304" s="70" t="s">
        <v>1038</v>
      </c>
      <c r="L304" s="61"/>
      <c r="M304" s="62"/>
      <c r="N304" s="63"/>
      <c r="O304" s="62"/>
      <c r="P304" s="63"/>
      <c r="Q304" s="62"/>
      <c r="R304" s="63"/>
      <c r="S304" s="68">
        <v>2.0</v>
      </c>
      <c r="T304" s="64">
        <v>4.0</v>
      </c>
      <c r="U304" s="68">
        <v>3.0</v>
      </c>
      <c r="V304" s="64"/>
      <c r="W304" s="68">
        <f t="shared" si="19"/>
        <v>9</v>
      </c>
      <c r="X304" s="117"/>
      <c r="Y304" s="173"/>
      <c r="Z304" s="65"/>
    </row>
    <row r="305" ht="14.25" customHeight="1">
      <c r="B305" s="148"/>
      <c r="C305" s="183"/>
      <c r="D305" s="70"/>
      <c r="L305" s="61"/>
      <c r="M305" s="62"/>
      <c r="N305" s="63"/>
      <c r="O305" s="62"/>
      <c r="P305" s="63"/>
      <c r="Q305" s="62"/>
      <c r="R305" s="63"/>
      <c r="S305" s="68"/>
      <c r="T305" s="64"/>
      <c r="U305" s="68"/>
      <c r="V305" s="64"/>
      <c r="W305" s="68"/>
      <c r="X305" s="117"/>
      <c r="Y305" s="173"/>
      <c r="Z305" s="65"/>
    </row>
    <row r="306" ht="14.25" customHeight="1">
      <c r="B306" s="148"/>
      <c r="C306" s="183"/>
      <c r="D306" s="77"/>
      <c r="L306" s="61"/>
      <c r="M306" s="62"/>
      <c r="N306" s="63"/>
      <c r="O306" s="62"/>
      <c r="P306" s="63"/>
      <c r="Q306" s="62"/>
      <c r="R306" s="63"/>
      <c r="S306" s="68"/>
      <c r="T306" s="64"/>
      <c r="U306" s="68"/>
      <c r="V306" s="64"/>
      <c r="W306" s="68"/>
      <c r="X306" s="117"/>
      <c r="Y306" s="173"/>
      <c r="Z306" s="65"/>
    </row>
    <row r="307" ht="14.25" customHeight="1">
      <c r="B307" s="148"/>
      <c r="C307" s="183"/>
      <c r="D307" s="154" t="s">
        <v>1031</v>
      </c>
      <c r="L307" s="61"/>
      <c r="M307" s="62"/>
      <c r="N307" s="63"/>
      <c r="O307" s="62"/>
      <c r="P307" s="63"/>
      <c r="Q307" s="62"/>
      <c r="R307" s="63"/>
      <c r="S307" s="68">
        <v>0.0</v>
      </c>
      <c r="T307" s="64">
        <v>0.0</v>
      </c>
      <c r="U307" s="68">
        <v>0.0</v>
      </c>
      <c r="V307" s="64"/>
      <c r="W307" s="68">
        <f t="shared" ref="W307:W316" si="20">SUM(S307:V307)</f>
        <v>0</v>
      </c>
      <c r="X307" s="117"/>
      <c r="Y307" s="173"/>
      <c r="Z307" s="65"/>
    </row>
    <row r="308" ht="14.25" customHeight="1">
      <c r="B308" s="148"/>
      <c r="C308" s="183"/>
      <c r="D308" s="197" t="s">
        <v>915</v>
      </c>
      <c r="L308" s="61"/>
      <c r="M308" s="62"/>
      <c r="N308" s="63"/>
      <c r="O308" s="62"/>
      <c r="P308" s="63"/>
      <c r="Q308" s="62"/>
      <c r="R308" s="63"/>
      <c r="S308" s="68">
        <v>0.0</v>
      </c>
      <c r="T308" s="64">
        <v>0.0</v>
      </c>
      <c r="U308" s="68">
        <v>0.0</v>
      </c>
      <c r="V308" s="64"/>
      <c r="W308" s="68">
        <f t="shared" si="20"/>
        <v>0</v>
      </c>
      <c r="X308" s="117"/>
      <c r="Y308" s="173"/>
      <c r="Z308" s="65"/>
    </row>
    <row r="309" ht="14.25" customHeight="1">
      <c r="B309" s="148"/>
      <c r="C309" s="183"/>
      <c r="D309" s="197" t="s">
        <v>908</v>
      </c>
      <c r="L309" s="61"/>
      <c r="M309" s="62"/>
      <c r="N309" s="63"/>
      <c r="O309" s="62"/>
      <c r="P309" s="63"/>
      <c r="Q309" s="62"/>
      <c r="R309" s="63"/>
      <c r="S309" s="68">
        <v>0.0</v>
      </c>
      <c r="T309" s="64">
        <v>0.0</v>
      </c>
      <c r="U309" s="68">
        <v>0.0</v>
      </c>
      <c r="V309" s="64"/>
      <c r="W309" s="68">
        <f t="shared" si="20"/>
        <v>0</v>
      </c>
      <c r="X309" s="117"/>
      <c r="Y309" s="173"/>
      <c r="Z309" s="65"/>
    </row>
    <row r="310" ht="14.25" customHeight="1">
      <c r="B310" s="148"/>
      <c r="C310" s="183"/>
      <c r="D310" s="197" t="s">
        <v>909</v>
      </c>
      <c r="L310" s="61"/>
      <c r="M310" s="62"/>
      <c r="N310" s="63"/>
      <c r="O310" s="62"/>
      <c r="P310" s="63"/>
      <c r="Q310" s="62"/>
      <c r="R310" s="63"/>
      <c r="S310" s="68">
        <v>0.0</v>
      </c>
      <c r="T310" s="64">
        <v>0.0</v>
      </c>
      <c r="U310" s="68">
        <v>0.0</v>
      </c>
      <c r="V310" s="64"/>
      <c r="W310" s="68">
        <f t="shared" si="20"/>
        <v>0</v>
      </c>
      <c r="X310" s="117"/>
      <c r="Y310" s="173"/>
      <c r="Z310" s="65"/>
    </row>
    <row r="311" ht="14.25" customHeight="1">
      <c r="B311" s="148"/>
      <c r="C311" s="183"/>
      <c r="D311" s="197" t="s">
        <v>910</v>
      </c>
      <c r="L311" s="61"/>
      <c r="M311" s="62"/>
      <c r="N311" s="63"/>
      <c r="O311" s="62"/>
      <c r="P311" s="63"/>
      <c r="Q311" s="62"/>
      <c r="R311" s="63"/>
      <c r="S311" s="68">
        <v>0.0</v>
      </c>
      <c r="T311" s="64">
        <v>0.0</v>
      </c>
      <c r="U311" s="68">
        <v>0.0</v>
      </c>
      <c r="V311" s="64"/>
      <c r="W311" s="68">
        <f t="shared" si="20"/>
        <v>0</v>
      </c>
      <c r="X311" s="117"/>
      <c r="Y311" s="173"/>
      <c r="Z311" s="65"/>
    </row>
    <row r="312" ht="14.25" customHeight="1">
      <c r="B312" s="148"/>
      <c r="C312" s="183"/>
      <c r="D312" s="197" t="s">
        <v>913</v>
      </c>
      <c r="L312" s="61"/>
      <c r="M312" s="62"/>
      <c r="N312" s="63"/>
      <c r="O312" s="62"/>
      <c r="P312" s="63"/>
      <c r="Q312" s="62"/>
      <c r="R312" s="63"/>
      <c r="S312" s="68">
        <v>0.0</v>
      </c>
      <c r="T312" s="64">
        <v>0.0</v>
      </c>
      <c r="U312" s="68">
        <v>0.0</v>
      </c>
      <c r="V312" s="64"/>
      <c r="W312" s="68">
        <f t="shared" si="20"/>
        <v>0</v>
      </c>
      <c r="X312" s="117"/>
      <c r="Y312" s="173"/>
      <c r="Z312" s="65"/>
    </row>
    <row r="313" ht="14.25" customHeight="1">
      <c r="B313" s="148"/>
      <c r="C313" s="183"/>
      <c r="D313" s="197" t="s">
        <v>961</v>
      </c>
      <c r="L313" s="61"/>
      <c r="M313" s="62"/>
      <c r="N313" s="63"/>
      <c r="O313" s="62"/>
      <c r="P313" s="63"/>
      <c r="Q313" s="62"/>
      <c r="R313" s="63"/>
      <c r="S313" s="68">
        <v>0.0</v>
      </c>
      <c r="T313" s="64">
        <v>0.0</v>
      </c>
      <c r="U313" s="68">
        <v>0.0</v>
      </c>
      <c r="V313" s="64"/>
      <c r="W313" s="68">
        <f t="shared" si="20"/>
        <v>0</v>
      </c>
      <c r="X313" s="117"/>
      <c r="Y313" s="173"/>
      <c r="Z313" s="65"/>
    </row>
    <row r="314" ht="14.25" customHeight="1">
      <c r="B314" s="148"/>
      <c r="C314" s="183"/>
      <c r="D314" s="197" t="s">
        <v>963</v>
      </c>
      <c r="L314" s="61"/>
      <c r="M314" s="62"/>
      <c r="N314" s="63"/>
      <c r="O314" s="62"/>
      <c r="P314" s="63"/>
      <c r="Q314" s="62"/>
      <c r="R314" s="63"/>
      <c r="S314" s="68">
        <v>0.0</v>
      </c>
      <c r="T314" s="64">
        <v>0.0</v>
      </c>
      <c r="U314" s="68">
        <v>0.0</v>
      </c>
      <c r="V314" s="64"/>
      <c r="W314" s="68">
        <f t="shared" si="20"/>
        <v>0</v>
      </c>
      <c r="X314" s="117"/>
      <c r="Y314" s="173"/>
      <c r="Z314" s="65"/>
    </row>
    <row r="315" ht="14.25" customHeight="1">
      <c r="B315" s="148"/>
      <c r="C315" s="183"/>
      <c r="D315" s="70"/>
      <c r="E315" s="118" t="s">
        <v>1037</v>
      </c>
      <c r="L315" s="61"/>
      <c r="M315" s="62"/>
      <c r="N315" s="63"/>
      <c r="O315" s="62"/>
      <c r="P315" s="63"/>
      <c r="Q315" s="62"/>
      <c r="R315" s="63"/>
      <c r="S315" s="68">
        <v>0.0</v>
      </c>
      <c r="T315" s="64">
        <v>0.0</v>
      </c>
      <c r="U315" s="68">
        <v>0.0</v>
      </c>
      <c r="V315" s="64"/>
      <c r="W315" s="68">
        <f t="shared" si="20"/>
        <v>0</v>
      </c>
      <c r="X315" s="117"/>
      <c r="Y315" s="173"/>
      <c r="Z315" s="65"/>
    </row>
    <row r="316" ht="14.25" customHeight="1">
      <c r="B316" s="148"/>
      <c r="C316" s="183"/>
      <c r="D316" s="70"/>
      <c r="E316" s="77" t="s">
        <v>1038</v>
      </c>
      <c r="L316" s="61"/>
      <c r="M316" s="62"/>
      <c r="N316" s="63"/>
      <c r="O316" s="62"/>
      <c r="P316" s="63"/>
      <c r="Q316" s="62"/>
      <c r="R316" s="63"/>
      <c r="S316" s="68">
        <v>0.0</v>
      </c>
      <c r="T316" s="64">
        <v>0.0</v>
      </c>
      <c r="U316" s="68">
        <v>0.0</v>
      </c>
      <c r="V316" s="64"/>
      <c r="W316" s="68">
        <f t="shared" si="20"/>
        <v>0</v>
      </c>
      <c r="X316" s="117"/>
      <c r="Y316" s="173"/>
      <c r="Z316" s="65"/>
    </row>
    <row r="317" ht="14.25" customHeight="1">
      <c r="B317" s="148"/>
      <c r="C317" s="183"/>
      <c r="D317" s="70"/>
      <c r="E317" s="77"/>
      <c r="L317" s="61"/>
      <c r="M317" s="62"/>
      <c r="N317" s="63"/>
      <c r="O317" s="62"/>
      <c r="P317" s="63"/>
      <c r="Q317" s="62"/>
      <c r="R317" s="63"/>
      <c r="S317" s="68"/>
      <c r="T317" s="64"/>
      <c r="U317" s="68"/>
      <c r="V317" s="64"/>
      <c r="W317" s="68"/>
      <c r="X317" s="117"/>
      <c r="Y317" s="173"/>
      <c r="Z317" s="65"/>
    </row>
    <row r="318" ht="14.25" customHeight="1">
      <c r="B318" s="113"/>
      <c r="L318" s="61"/>
      <c r="M318" s="62"/>
      <c r="N318" s="63"/>
      <c r="O318" s="62"/>
      <c r="P318" s="63"/>
      <c r="Q318" s="62"/>
      <c r="R318" s="63"/>
      <c r="S318" s="68"/>
      <c r="T318" s="64"/>
      <c r="U318" s="68"/>
      <c r="V318" s="64"/>
      <c r="W318" s="68"/>
      <c r="X318" s="117"/>
      <c r="Y318" s="173"/>
      <c r="Z318" s="65"/>
    </row>
    <row r="319" ht="14.25" customHeight="1">
      <c r="B319" s="60" t="s">
        <v>1040</v>
      </c>
      <c r="C319" s="144"/>
      <c r="D319" s="183"/>
      <c r="E319" s="77"/>
      <c r="L319" s="61"/>
      <c r="M319" s="62"/>
      <c r="N319" s="63"/>
      <c r="O319" s="62"/>
      <c r="P319" s="63"/>
      <c r="Q319" s="62"/>
      <c r="R319" s="63"/>
      <c r="S319" s="68"/>
      <c r="T319" s="64"/>
      <c r="U319" s="68"/>
      <c r="V319" s="64"/>
      <c r="W319" s="68"/>
      <c r="X319" s="117"/>
      <c r="Y319" s="173"/>
      <c r="Z319" s="65"/>
    </row>
    <row r="320" ht="14.25" customHeight="1">
      <c r="B320" s="60" t="s">
        <v>1041</v>
      </c>
      <c r="L320" s="61"/>
      <c r="M320" s="62"/>
      <c r="N320" s="63"/>
      <c r="O320" s="62"/>
      <c r="P320" s="63"/>
      <c r="Q320" s="62"/>
      <c r="R320" s="63"/>
      <c r="S320" s="68"/>
      <c r="T320" s="64"/>
      <c r="U320" s="68"/>
      <c r="V320" s="64"/>
      <c r="W320" s="68"/>
      <c r="X320" s="117"/>
      <c r="Y320" s="173"/>
      <c r="Z320" s="65"/>
    </row>
    <row r="321" ht="14.25" customHeight="1">
      <c r="B321" s="113"/>
      <c r="E321" s="559"/>
      <c r="L321" s="61"/>
      <c r="M321" s="62"/>
      <c r="N321" s="63"/>
      <c r="O321" s="62"/>
      <c r="P321" s="63"/>
      <c r="Q321" s="62"/>
      <c r="R321" s="63"/>
      <c r="S321" s="68"/>
      <c r="T321" s="64"/>
      <c r="U321" s="68"/>
      <c r="V321" s="64"/>
      <c r="W321" s="68"/>
      <c r="X321" s="117"/>
      <c r="Y321" s="173"/>
      <c r="Z321" s="65"/>
    </row>
    <row r="322" ht="14.25" customHeight="1">
      <c r="B322" s="113"/>
      <c r="D322" s="560" t="s">
        <v>1042</v>
      </c>
      <c r="E322" s="561"/>
      <c r="L322" s="61"/>
      <c r="M322" s="62"/>
      <c r="N322" s="63"/>
      <c r="O322" s="62"/>
      <c r="P322" s="63"/>
      <c r="Q322" s="62"/>
      <c r="R322" s="63"/>
      <c r="S322" s="68"/>
      <c r="T322" s="64"/>
      <c r="U322" s="68"/>
      <c r="V322" s="64"/>
      <c r="W322" s="68"/>
      <c r="X322" s="117"/>
      <c r="Y322" s="173"/>
      <c r="Z322" s="65"/>
    </row>
    <row r="323" ht="15.0" customHeight="1">
      <c r="B323" s="113"/>
      <c r="D323" s="559"/>
      <c r="E323" s="559" t="s">
        <v>1043</v>
      </c>
      <c r="F323" s="562"/>
      <c r="L323" s="61"/>
      <c r="M323" s="62"/>
      <c r="N323" s="64"/>
      <c r="O323" s="68"/>
      <c r="P323" s="64"/>
      <c r="Q323" s="62"/>
      <c r="R323" s="63"/>
      <c r="S323" s="68"/>
      <c r="T323" s="64"/>
      <c r="U323" s="68"/>
      <c r="V323" s="64"/>
      <c r="W323" s="68"/>
      <c r="X323" s="117"/>
      <c r="Y323" s="173"/>
      <c r="Z323" s="65"/>
    </row>
    <row r="324" ht="14.25" customHeight="1">
      <c r="B324" s="113"/>
      <c r="D324" s="563"/>
      <c r="E324" s="564" t="s">
        <v>1044</v>
      </c>
      <c r="L324" s="61"/>
      <c r="M324" s="62"/>
      <c r="N324" s="64">
        <v>130532.0</v>
      </c>
      <c r="O324" s="68">
        <v>130500.0</v>
      </c>
      <c r="P324" s="64">
        <v>161326.0</v>
      </c>
      <c r="Q324" s="62"/>
      <c r="R324" s="63"/>
      <c r="S324" s="68">
        <v>143576.0</v>
      </c>
      <c r="T324" s="64">
        <v>144900.0</v>
      </c>
      <c r="U324" s="68">
        <v>163724.0</v>
      </c>
      <c r="V324" s="64"/>
      <c r="W324" s="68"/>
      <c r="X324" s="117"/>
      <c r="Y324" s="173"/>
      <c r="Z324" s="65"/>
    </row>
    <row r="325" ht="14.25" customHeight="1">
      <c r="B325" s="113"/>
      <c r="D325" s="559"/>
      <c r="E325" s="565"/>
      <c r="L325" s="61"/>
      <c r="M325" s="62"/>
      <c r="N325" s="64"/>
      <c r="O325" s="68"/>
      <c r="P325" s="64"/>
      <c r="Q325" s="62"/>
      <c r="R325" s="63"/>
      <c r="S325" s="68"/>
      <c r="T325" s="64"/>
      <c r="U325" s="68"/>
      <c r="V325" s="64"/>
      <c r="W325" s="68"/>
      <c r="X325" s="117"/>
      <c r="Y325" s="173"/>
      <c r="Z325" s="65"/>
    </row>
    <row r="326" ht="14.25" customHeight="1">
      <c r="B326" s="113"/>
      <c r="D326" s="559"/>
      <c r="E326" s="559" t="s">
        <v>1046</v>
      </c>
      <c r="L326" s="61"/>
      <c r="M326" s="62"/>
      <c r="N326" s="64"/>
      <c r="O326" s="68"/>
      <c r="P326" s="64"/>
      <c r="Q326" s="62"/>
      <c r="R326" s="63"/>
      <c r="S326" s="68"/>
      <c r="T326" s="64"/>
      <c r="U326" s="68"/>
      <c r="V326" s="64"/>
      <c r="W326" s="68"/>
      <c r="X326" s="117"/>
      <c r="Y326" s="173"/>
      <c r="Z326" s="65"/>
    </row>
    <row r="327" ht="15.0" customHeight="1">
      <c r="B327" s="113"/>
      <c r="D327" s="559"/>
      <c r="E327" s="566" t="s">
        <v>1047</v>
      </c>
      <c r="F327" s="562"/>
      <c r="L327" s="61"/>
      <c r="M327" s="62"/>
      <c r="N327" s="92"/>
      <c r="O327" s="145"/>
      <c r="P327" s="92"/>
      <c r="Q327" s="567"/>
      <c r="R327" s="241"/>
      <c r="S327" s="145"/>
      <c r="T327" s="92">
        <v>0.962</v>
      </c>
      <c r="U327" s="145"/>
      <c r="V327" s="92"/>
      <c r="W327" s="68"/>
      <c r="X327" s="117"/>
      <c r="Y327" s="173"/>
      <c r="Z327" s="65"/>
    </row>
    <row r="328" ht="14.25" customHeight="1">
      <c r="B328" s="113"/>
      <c r="D328" s="559"/>
      <c r="E328" s="566" t="s">
        <v>1048</v>
      </c>
      <c r="L328" s="61"/>
      <c r="M328" s="62"/>
      <c r="N328" s="92">
        <v>0.9</v>
      </c>
      <c r="O328" s="145" t="s">
        <v>1190</v>
      </c>
      <c r="P328" s="92" t="s">
        <v>1190</v>
      </c>
      <c r="Q328" s="567"/>
      <c r="R328" s="241"/>
      <c r="S328" s="145">
        <v>0.942</v>
      </c>
      <c r="T328" s="92" t="s">
        <v>1190</v>
      </c>
      <c r="U328" s="145" t="s">
        <v>1190</v>
      </c>
      <c r="V328" s="92"/>
      <c r="W328" s="68"/>
      <c r="X328" s="117"/>
      <c r="Y328" s="173"/>
      <c r="Z328" s="65"/>
    </row>
    <row r="329" ht="14.25" customHeight="1">
      <c r="B329" s="113"/>
      <c r="D329" s="559"/>
      <c r="E329" s="559" t="s">
        <v>1049</v>
      </c>
      <c r="L329" s="61"/>
      <c r="M329" s="62"/>
      <c r="N329" s="92"/>
      <c r="O329" s="145"/>
      <c r="P329" s="92"/>
      <c r="Q329" s="567"/>
      <c r="R329" s="241"/>
      <c r="S329" s="145"/>
      <c r="T329" s="92"/>
      <c r="U329" s="145"/>
      <c r="V329" s="92"/>
      <c r="W329" s="68"/>
      <c r="X329" s="117"/>
      <c r="Y329" s="173"/>
      <c r="Z329" s="65"/>
    </row>
    <row r="330" ht="14.25" customHeight="1">
      <c r="B330" s="113"/>
      <c r="D330" s="563"/>
      <c r="E330" s="564" t="s">
        <v>1050</v>
      </c>
      <c r="L330" s="61"/>
      <c r="M330" s="62"/>
      <c r="N330" s="92">
        <v>0.9</v>
      </c>
      <c r="O330" s="145">
        <v>0.8</v>
      </c>
      <c r="P330" s="92">
        <v>0.8</v>
      </c>
      <c r="Q330" s="567"/>
      <c r="R330" s="241"/>
      <c r="S330" s="145">
        <v>0.942</v>
      </c>
      <c r="T330" s="92">
        <v>1.0</v>
      </c>
      <c r="U330" s="145">
        <v>1.0</v>
      </c>
      <c r="V330" s="92"/>
      <c r="W330" s="68"/>
      <c r="X330" s="117"/>
      <c r="Y330" s="173"/>
      <c r="Z330" s="65"/>
    </row>
    <row r="331" ht="15.0" customHeight="1">
      <c r="B331" s="113"/>
      <c r="D331" s="559"/>
      <c r="E331" s="568"/>
      <c r="F331" s="562"/>
      <c r="L331" s="61"/>
      <c r="M331" s="62"/>
      <c r="N331" s="63"/>
      <c r="O331" s="62"/>
      <c r="P331" s="63"/>
      <c r="Q331" s="62"/>
      <c r="R331" s="63"/>
      <c r="S331" s="68"/>
      <c r="T331" s="64"/>
      <c r="U331" s="68"/>
      <c r="V331" s="64"/>
      <c r="W331" s="68"/>
      <c r="X331" s="117"/>
      <c r="Y331" s="173"/>
      <c r="Z331" s="65"/>
    </row>
    <row r="332" ht="14.25" customHeight="1">
      <c r="B332" s="113"/>
      <c r="D332" s="560" t="s">
        <v>1051</v>
      </c>
      <c r="E332" s="561"/>
      <c r="L332" s="61"/>
      <c r="M332" s="62"/>
      <c r="N332" s="63"/>
      <c r="O332" s="62"/>
      <c r="P332" s="63"/>
      <c r="Q332" s="62"/>
      <c r="R332" s="63"/>
      <c r="S332" s="68"/>
      <c r="T332" s="64"/>
      <c r="U332" s="68"/>
      <c r="V332" s="64"/>
      <c r="W332" s="68"/>
      <c r="X332" s="117"/>
      <c r="Y332" s="173"/>
      <c r="Z332" s="65"/>
    </row>
    <row r="333" ht="14.25" customHeight="1">
      <c r="B333" s="113"/>
      <c r="D333" s="569"/>
      <c r="E333" s="559" t="s">
        <v>1043</v>
      </c>
      <c r="L333" s="61"/>
      <c r="M333" s="62"/>
      <c r="N333" s="64"/>
      <c r="O333" s="68"/>
      <c r="P333" s="64"/>
      <c r="Q333" s="62"/>
      <c r="R333" s="63"/>
      <c r="S333" s="68"/>
      <c r="T333" s="64"/>
      <c r="U333" s="68"/>
      <c r="V333" s="64"/>
      <c r="W333" s="68"/>
      <c r="X333" s="117"/>
      <c r="Y333" s="173"/>
      <c r="Z333" s="65"/>
    </row>
    <row r="334" ht="14.25" customHeight="1">
      <c r="B334" s="113"/>
      <c r="D334" s="563"/>
      <c r="E334" s="564" t="s">
        <v>1052</v>
      </c>
      <c r="L334" s="61"/>
      <c r="M334" s="62"/>
      <c r="N334" s="64"/>
      <c r="O334" s="68">
        <v>12.0</v>
      </c>
      <c r="P334" s="64">
        <v>15.0</v>
      </c>
      <c r="Q334" s="62"/>
      <c r="R334" s="64">
        <f>SUM(N334:Q334)</f>
        <v>27</v>
      </c>
      <c r="S334" s="68">
        <v>11.0</v>
      </c>
      <c r="T334" s="64">
        <v>18.0</v>
      </c>
      <c r="U334" s="68">
        <v>28.0</v>
      </c>
      <c r="V334" s="64"/>
      <c r="W334" s="68">
        <f>SUM(S334:V334)</f>
        <v>57</v>
      </c>
      <c r="X334" s="117"/>
      <c r="Y334" s="173"/>
      <c r="Z334" s="65"/>
    </row>
    <row r="335" ht="14.25" customHeight="1">
      <c r="B335" s="113"/>
      <c r="D335" s="563"/>
      <c r="E335" s="565"/>
      <c r="L335" s="61"/>
      <c r="M335" s="62"/>
      <c r="N335" s="64"/>
      <c r="O335" s="68"/>
      <c r="P335" s="64"/>
      <c r="Q335" s="62"/>
      <c r="R335" s="64"/>
      <c r="S335" s="68"/>
      <c r="T335" s="64"/>
      <c r="U335" s="68"/>
      <c r="V335" s="64"/>
      <c r="W335" s="68"/>
      <c r="X335" s="117"/>
      <c r="Y335" s="173"/>
      <c r="Z335" s="65"/>
    </row>
    <row r="336" ht="14.25" customHeight="1">
      <c r="B336" s="113"/>
      <c r="D336" s="563"/>
      <c r="E336" s="570" t="s">
        <v>1046</v>
      </c>
      <c r="L336" s="61"/>
      <c r="M336" s="62"/>
      <c r="N336" s="64"/>
      <c r="O336" s="68"/>
      <c r="P336" s="64"/>
      <c r="Q336" s="62"/>
      <c r="R336" s="63"/>
      <c r="S336" s="68"/>
      <c r="T336" s="64"/>
      <c r="U336" s="68"/>
      <c r="V336" s="64"/>
      <c r="W336" s="68"/>
      <c r="X336" s="117"/>
      <c r="Y336" s="173"/>
      <c r="Z336" s="65"/>
    </row>
    <row r="337" ht="14.25" customHeight="1">
      <c r="B337" s="113"/>
      <c r="D337" s="563"/>
      <c r="E337" s="571"/>
      <c r="L337" s="61"/>
      <c r="M337" s="62"/>
      <c r="N337" s="64"/>
      <c r="O337" s="68"/>
      <c r="P337" s="64"/>
      <c r="Q337" s="62"/>
      <c r="R337" s="63"/>
      <c r="S337" s="68"/>
      <c r="T337" s="64"/>
      <c r="U337" s="68"/>
      <c r="V337" s="64"/>
      <c r="W337" s="68"/>
      <c r="X337" s="117"/>
      <c r="Y337" s="173"/>
      <c r="Z337" s="65"/>
    </row>
    <row r="338" ht="14.25" customHeight="1">
      <c r="B338" s="113"/>
      <c r="D338" s="559"/>
      <c r="E338" s="559" t="s">
        <v>1049</v>
      </c>
      <c r="L338" s="61"/>
      <c r="M338" s="62"/>
      <c r="N338" s="64"/>
      <c r="O338" s="68"/>
      <c r="P338" s="64"/>
      <c r="Q338" s="62"/>
      <c r="R338" s="63"/>
      <c r="S338" s="68"/>
      <c r="T338" s="64"/>
      <c r="U338" s="68"/>
      <c r="V338" s="64"/>
      <c r="W338" s="68"/>
      <c r="X338" s="117"/>
      <c r="Y338" s="173"/>
      <c r="Z338" s="65"/>
    </row>
    <row r="339" ht="14.25" customHeight="1">
      <c r="B339" s="113"/>
      <c r="D339" s="569"/>
      <c r="E339" s="564" t="s">
        <v>1053</v>
      </c>
      <c r="L339" s="61"/>
      <c r="M339" s="62"/>
      <c r="N339" s="92">
        <v>1.0</v>
      </c>
      <c r="O339" s="145">
        <v>1.0</v>
      </c>
      <c r="P339" s="92">
        <v>1.0</v>
      </c>
      <c r="Q339" s="567"/>
      <c r="R339" s="241"/>
      <c r="S339" s="145">
        <v>1.0</v>
      </c>
      <c r="T339" s="92">
        <v>1.0</v>
      </c>
      <c r="U339" s="145">
        <v>1.0</v>
      </c>
      <c r="V339" s="92"/>
      <c r="W339" s="68"/>
      <c r="X339" s="117"/>
      <c r="Y339" s="173"/>
      <c r="Z339" s="65"/>
    </row>
    <row r="340" ht="14.25" customHeight="1">
      <c r="B340" s="113"/>
      <c r="D340" s="559"/>
      <c r="E340" s="568"/>
      <c r="L340" s="61"/>
      <c r="M340" s="62"/>
      <c r="N340" s="64"/>
      <c r="O340" s="68"/>
      <c r="P340" s="64"/>
      <c r="Q340" s="62"/>
      <c r="R340" s="63"/>
      <c r="S340" s="68"/>
      <c r="T340" s="64"/>
      <c r="U340" s="68"/>
      <c r="V340" s="64"/>
      <c r="W340" s="68"/>
      <c r="X340" s="117"/>
      <c r="Y340" s="173"/>
      <c r="Z340" s="65"/>
    </row>
    <row r="341" ht="14.25" customHeight="1">
      <c r="B341" s="113"/>
      <c r="D341" s="560" t="s">
        <v>1054</v>
      </c>
      <c r="E341" s="561"/>
      <c r="L341" s="61"/>
      <c r="M341" s="62"/>
      <c r="N341" s="64"/>
      <c r="O341" s="68"/>
      <c r="P341" s="64"/>
      <c r="Q341" s="62"/>
      <c r="R341" s="63"/>
      <c r="S341" s="68"/>
      <c r="T341" s="64"/>
      <c r="U341" s="68"/>
      <c r="V341" s="64"/>
      <c r="W341" s="68"/>
      <c r="X341" s="117"/>
      <c r="Y341" s="173"/>
      <c r="Z341" s="65"/>
    </row>
    <row r="342" ht="14.25" customHeight="1">
      <c r="B342" s="113"/>
      <c r="D342" s="572"/>
      <c r="E342" s="573" t="s">
        <v>1043</v>
      </c>
      <c r="L342" s="61"/>
      <c r="M342" s="62"/>
      <c r="N342" s="64"/>
      <c r="O342" s="68"/>
      <c r="P342" s="64"/>
      <c r="Q342" s="68"/>
      <c r="R342" s="63"/>
      <c r="S342" s="68"/>
      <c r="T342" s="64"/>
      <c r="U342" s="68"/>
      <c r="V342" s="64"/>
      <c r="W342" s="68"/>
      <c r="X342" s="117"/>
      <c r="Y342" s="173"/>
      <c r="Z342" s="65"/>
    </row>
    <row r="343" ht="14.25" customHeight="1">
      <c r="B343" s="113"/>
      <c r="D343" s="574"/>
      <c r="E343" s="564" t="s">
        <v>1055</v>
      </c>
      <c r="L343" s="61"/>
      <c r="M343" s="62"/>
      <c r="N343" s="64">
        <v>50593.0</v>
      </c>
      <c r="O343" s="68">
        <v>50593.0</v>
      </c>
      <c r="P343" s="64">
        <v>75003.0</v>
      </c>
      <c r="Q343" s="68"/>
      <c r="R343" s="63"/>
      <c r="S343" s="68">
        <v>75003.0</v>
      </c>
      <c r="T343" s="64">
        <v>75003.0</v>
      </c>
      <c r="U343" s="68">
        <v>52787.0</v>
      </c>
      <c r="V343" s="64"/>
      <c r="W343" s="68"/>
      <c r="X343" s="117"/>
      <c r="Y343" s="173"/>
      <c r="Z343" s="65"/>
    </row>
    <row r="344" ht="14.25" customHeight="1">
      <c r="B344" s="113"/>
      <c r="D344" s="574"/>
      <c r="E344" s="565"/>
      <c r="L344" s="61"/>
      <c r="M344" s="62"/>
      <c r="N344" s="64"/>
      <c r="O344" s="68"/>
      <c r="P344" s="64"/>
      <c r="Q344" s="68"/>
      <c r="R344" s="63"/>
      <c r="S344" s="68"/>
      <c r="T344" s="64"/>
      <c r="U344" s="68"/>
      <c r="V344" s="64"/>
      <c r="W344" s="68"/>
      <c r="X344" s="117"/>
      <c r="Y344" s="173"/>
      <c r="Z344" s="65"/>
    </row>
    <row r="345" ht="14.25" customHeight="1">
      <c r="B345" s="113"/>
      <c r="D345" s="574"/>
      <c r="E345" s="573" t="s">
        <v>1046</v>
      </c>
      <c r="L345" s="61"/>
      <c r="M345" s="62"/>
      <c r="N345" s="92"/>
      <c r="O345" s="145"/>
      <c r="P345" s="92"/>
      <c r="Q345" s="145"/>
      <c r="R345" s="241"/>
      <c r="S345" s="145"/>
      <c r="T345" s="92"/>
      <c r="U345" s="145"/>
      <c r="V345" s="92"/>
      <c r="W345" s="68"/>
      <c r="X345" s="117"/>
      <c r="Y345" s="173"/>
      <c r="Z345" s="65"/>
    </row>
    <row r="346" ht="14.25" customHeight="1">
      <c r="B346" s="113"/>
      <c r="D346" s="575"/>
      <c r="E346" s="576" t="s">
        <v>1056</v>
      </c>
      <c r="L346" s="61"/>
      <c r="M346" s="62"/>
      <c r="N346" s="92">
        <v>0.0</v>
      </c>
      <c r="O346" s="145">
        <v>0.0</v>
      </c>
      <c r="P346" s="92">
        <v>0.0</v>
      </c>
      <c r="Q346" s="145"/>
      <c r="R346" s="241"/>
      <c r="S346" s="145">
        <v>0.0</v>
      </c>
      <c r="T346" s="92">
        <v>0.0</v>
      </c>
      <c r="U346" s="145">
        <v>0.0</v>
      </c>
      <c r="V346" s="92"/>
      <c r="W346" s="68"/>
      <c r="X346" s="117"/>
      <c r="Y346" s="173"/>
      <c r="Z346" s="65"/>
    </row>
    <row r="347" ht="14.25" customHeight="1">
      <c r="B347" s="113"/>
      <c r="D347" s="574"/>
      <c r="E347" s="565"/>
      <c r="L347" s="61"/>
      <c r="M347" s="62"/>
      <c r="N347" s="92"/>
      <c r="O347" s="145"/>
      <c r="P347" s="92"/>
      <c r="Q347" s="145"/>
      <c r="R347" s="241"/>
      <c r="S347" s="145"/>
      <c r="T347" s="92"/>
      <c r="U347" s="145"/>
      <c r="V347" s="92"/>
      <c r="W347" s="68"/>
      <c r="X347" s="117"/>
      <c r="Y347" s="173"/>
      <c r="Z347" s="65"/>
    </row>
    <row r="348" ht="14.25" customHeight="1">
      <c r="B348" s="113"/>
      <c r="D348" s="574"/>
      <c r="E348" s="573" t="s">
        <v>1049</v>
      </c>
      <c r="L348" s="61"/>
      <c r="M348" s="62"/>
      <c r="N348" s="92"/>
      <c r="O348" s="145"/>
      <c r="P348" s="92"/>
      <c r="Q348" s="145"/>
      <c r="R348" s="241"/>
      <c r="S348" s="145"/>
      <c r="T348" s="92"/>
      <c r="U348" s="145"/>
      <c r="V348" s="92"/>
      <c r="W348" s="68"/>
      <c r="X348" s="117"/>
      <c r="Y348" s="173"/>
      <c r="Z348" s="65"/>
    </row>
    <row r="349" ht="14.25" customHeight="1">
      <c r="B349" s="113"/>
      <c r="D349" s="574"/>
      <c r="E349" s="564" t="s">
        <v>1057</v>
      </c>
      <c r="L349" s="61"/>
      <c r="M349" s="62"/>
      <c r="N349" s="92">
        <v>1.0</v>
      </c>
      <c r="O349" s="145">
        <v>0.5</v>
      </c>
      <c r="P349" s="92"/>
      <c r="Q349" s="145"/>
      <c r="R349" s="241"/>
      <c r="S349" s="145">
        <v>1.0</v>
      </c>
      <c r="T349" s="92">
        <v>0.63</v>
      </c>
      <c r="U349" s="145">
        <v>0.7</v>
      </c>
      <c r="V349" s="92"/>
      <c r="W349" s="68"/>
      <c r="X349" s="117"/>
      <c r="Y349" s="173"/>
      <c r="Z349" s="65"/>
    </row>
    <row r="350" ht="14.25" customHeight="1">
      <c r="B350" s="113"/>
      <c r="D350" s="574"/>
      <c r="E350" s="565"/>
      <c r="L350" s="61"/>
      <c r="M350" s="62"/>
      <c r="N350" s="63"/>
      <c r="O350" s="62"/>
      <c r="P350" s="63"/>
      <c r="Q350" s="62"/>
      <c r="R350" s="63"/>
      <c r="S350" s="68"/>
      <c r="T350" s="64"/>
      <c r="U350" s="68"/>
      <c r="V350" s="64"/>
      <c r="W350" s="68"/>
      <c r="X350" s="117"/>
      <c r="Y350" s="173"/>
      <c r="Z350" s="65"/>
    </row>
    <row r="351" ht="14.25" customHeight="1">
      <c r="B351" s="113"/>
      <c r="D351" s="560" t="s">
        <v>1191</v>
      </c>
      <c r="E351" s="561"/>
      <c r="L351" s="61"/>
      <c r="M351" s="62"/>
      <c r="N351" s="63"/>
      <c r="O351" s="62"/>
      <c r="P351" s="63"/>
      <c r="Q351" s="62"/>
      <c r="R351" s="63"/>
      <c r="S351" s="68"/>
      <c r="T351" s="64"/>
      <c r="U351" s="68"/>
      <c r="V351" s="64"/>
      <c r="W351" s="68"/>
      <c r="X351" s="117"/>
      <c r="Y351" s="173"/>
      <c r="Z351" s="65"/>
    </row>
    <row r="352" ht="14.25" customHeight="1">
      <c r="B352" s="113"/>
      <c r="D352" s="569"/>
      <c r="E352" s="573" t="s">
        <v>1043</v>
      </c>
      <c r="L352" s="61"/>
      <c r="M352" s="62"/>
      <c r="N352" s="63"/>
      <c r="O352" s="62"/>
      <c r="P352" s="63"/>
      <c r="Q352" s="62"/>
      <c r="R352" s="63"/>
      <c r="S352" s="68"/>
      <c r="T352" s="64"/>
      <c r="U352" s="68"/>
      <c r="V352" s="64"/>
      <c r="W352" s="68"/>
      <c r="X352" s="117"/>
      <c r="Y352" s="173"/>
      <c r="Z352" s="65"/>
    </row>
    <row r="353" ht="14.25" customHeight="1">
      <c r="B353" s="113"/>
      <c r="D353" s="563"/>
      <c r="E353" s="577" t="s">
        <v>1059</v>
      </c>
      <c r="L353" s="61"/>
      <c r="M353" s="62"/>
      <c r="N353" s="63"/>
      <c r="O353" s="62"/>
      <c r="P353" s="63"/>
      <c r="Q353" s="62"/>
      <c r="R353" s="63"/>
      <c r="S353" s="68"/>
      <c r="T353" s="64"/>
      <c r="U353" s="68"/>
      <c r="V353" s="64"/>
      <c r="W353" s="68"/>
      <c r="X353" s="117"/>
      <c r="Y353" s="173"/>
      <c r="Z353" s="65"/>
    </row>
    <row r="354" ht="14.25" customHeight="1">
      <c r="B354" s="113"/>
      <c r="D354" s="563"/>
      <c r="E354" s="577" t="s">
        <v>1060</v>
      </c>
      <c r="L354" s="61"/>
      <c r="M354" s="62"/>
      <c r="N354" s="63"/>
      <c r="O354" s="62"/>
      <c r="P354" s="63"/>
      <c r="Q354" s="62"/>
      <c r="R354" s="63"/>
      <c r="S354" s="68"/>
      <c r="T354" s="64"/>
      <c r="U354" s="68"/>
      <c r="V354" s="64"/>
      <c r="W354" s="68"/>
      <c r="X354" s="117"/>
      <c r="Y354" s="173"/>
      <c r="Z354" s="65"/>
    </row>
    <row r="355" ht="14.25" customHeight="1">
      <c r="B355" s="113"/>
      <c r="D355" s="563"/>
      <c r="E355" s="577" t="s">
        <v>1061</v>
      </c>
      <c r="L355" s="61"/>
      <c r="M355" s="62"/>
      <c r="N355" s="63"/>
      <c r="O355" s="62"/>
      <c r="P355" s="63"/>
      <c r="Q355" s="62"/>
      <c r="R355" s="63"/>
      <c r="S355" s="68"/>
      <c r="T355" s="64"/>
      <c r="U355" s="68"/>
      <c r="V355" s="64"/>
      <c r="W355" s="68"/>
      <c r="X355" s="117"/>
      <c r="Y355" s="173"/>
      <c r="Z355" s="65"/>
    </row>
    <row r="356" ht="14.25" customHeight="1">
      <c r="B356" s="113"/>
      <c r="D356" s="563"/>
      <c r="E356" s="577" t="s">
        <v>1062</v>
      </c>
      <c r="L356" s="61"/>
      <c r="M356" s="62"/>
      <c r="N356" s="63"/>
      <c r="O356" s="62"/>
      <c r="P356" s="63"/>
      <c r="Q356" s="62"/>
      <c r="R356" s="63"/>
      <c r="S356" s="68"/>
      <c r="T356" s="64"/>
      <c r="U356" s="68"/>
      <c r="V356" s="64"/>
      <c r="W356" s="68"/>
      <c r="X356" s="117"/>
      <c r="Y356" s="173"/>
      <c r="Z356" s="65"/>
    </row>
    <row r="357" ht="14.25" customHeight="1">
      <c r="B357" s="113"/>
      <c r="D357" s="572"/>
      <c r="E357" s="573" t="s">
        <v>1046</v>
      </c>
      <c r="L357" s="61"/>
      <c r="M357" s="62"/>
      <c r="N357" s="63"/>
      <c r="O357" s="62"/>
      <c r="P357" s="63"/>
      <c r="Q357" s="62"/>
      <c r="R357" s="63"/>
      <c r="S357" s="68"/>
      <c r="T357" s="64"/>
      <c r="U357" s="68"/>
      <c r="V357" s="64"/>
      <c r="W357" s="68"/>
      <c r="X357" s="117"/>
      <c r="Y357" s="173"/>
      <c r="Z357" s="65"/>
    </row>
    <row r="358" ht="14.25" customHeight="1">
      <c r="B358" s="113"/>
      <c r="D358" s="563"/>
      <c r="E358" s="577" t="s">
        <v>1063</v>
      </c>
      <c r="L358" s="61"/>
      <c r="M358" s="62"/>
      <c r="N358" s="63"/>
      <c r="O358" s="62"/>
      <c r="P358" s="63"/>
      <c r="Q358" s="62"/>
      <c r="R358" s="63"/>
      <c r="S358" s="68"/>
      <c r="T358" s="64"/>
      <c r="U358" s="68"/>
      <c r="V358" s="64"/>
      <c r="W358" s="68"/>
      <c r="X358" s="117"/>
      <c r="Y358" s="173"/>
      <c r="Z358" s="65"/>
    </row>
    <row r="359" ht="14.25" customHeight="1">
      <c r="B359" s="113"/>
      <c r="D359" s="563"/>
      <c r="E359" s="577" t="s">
        <v>1064</v>
      </c>
      <c r="L359" s="61"/>
      <c r="M359" s="62"/>
      <c r="N359" s="63"/>
      <c r="O359" s="62"/>
      <c r="P359" s="63"/>
      <c r="Q359" s="62"/>
      <c r="R359" s="63"/>
      <c r="S359" s="68"/>
      <c r="T359" s="64"/>
      <c r="U359" s="68"/>
      <c r="V359" s="64"/>
      <c r="W359" s="68"/>
      <c r="X359" s="117"/>
      <c r="Y359" s="173"/>
      <c r="Z359" s="65"/>
    </row>
    <row r="360" ht="14.25" customHeight="1">
      <c r="B360" s="113"/>
      <c r="D360" s="572"/>
      <c r="E360" s="577" t="s">
        <v>1065</v>
      </c>
      <c r="L360" s="61"/>
      <c r="M360" s="62"/>
      <c r="N360" s="63"/>
      <c r="O360" s="62"/>
      <c r="P360" s="63"/>
      <c r="Q360" s="62"/>
      <c r="R360" s="63"/>
      <c r="S360" s="68"/>
      <c r="T360" s="64"/>
      <c r="U360" s="68"/>
      <c r="V360" s="64"/>
      <c r="W360" s="68"/>
      <c r="X360" s="117"/>
      <c r="Y360" s="173"/>
      <c r="Z360" s="65"/>
    </row>
    <row r="361" ht="14.25" customHeight="1">
      <c r="B361" s="113"/>
      <c r="D361" s="572"/>
      <c r="E361" s="577" t="s">
        <v>1066</v>
      </c>
      <c r="L361" s="61"/>
      <c r="M361" s="62"/>
      <c r="N361" s="63"/>
      <c r="O361" s="62"/>
      <c r="P361" s="63"/>
      <c r="Q361" s="62"/>
      <c r="R361" s="63"/>
      <c r="S361" s="68"/>
      <c r="T361" s="64"/>
      <c r="U361" s="68"/>
      <c r="V361" s="64"/>
      <c r="W361" s="68"/>
      <c r="X361" s="117"/>
      <c r="Y361" s="173"/>
      <c r="Z361" s="65"/>
    </row>
    <row r="362" ht="14.25" customHeight="1">
      <c r="B362" s="113"/>
      <c r="D362" s="572"/>
      <c r="E362" s="578"/>
      <c r="L362" s="61"/>
      <c r="M362" s="62"/>
      <c r="N362" s="63"/>
      <c r="O362" s="62"/>
      <c r="P362" s="63"/>
      <c r="Q362" s="62"/>
      <c r="R362" s="63"/>
      <c r="S362" s="68"/>
      <c r="T362" s="64"/>
      <c r="U362" s="68"/>
      <c r="V362" s="64"/>
      <c r="W362" s="68"/>
      <c r="X362" s="117"/>
      <c r="Y362" s="173"/>
      <c r="Z362" s="65"/>
    </row>
    <row r="363" ht="14.25" customHeight="1">
      <c r="B363" s="113"/>
      <c r="D363" s="572"/>
      <c r="E363" s="573" t="s">
        <v>1049</v>
      </c>
      <c r="L363" s="61"/>
      <c r="M363" s="62"/>
      <c r="N363" s="63"/>
      <c r="O363" s="62"/>
      <c r="P363" s="63"/>
      <c r="Q363" s="62"/>
      <c r="R363" s="63"/>
      <c r="S363" s="68"/>
      <c r="T363" s="64"/>
      <c r="U363" s="68"/>
      <c r="V363" s="64"/>
      <c r="W363" s="68"/>
      <c r="X363" s="117"/>
      <c r="Y363" s="173"/>
      <c r="Z363" s="65"/>
    </row>
    <row r="364" ht="14.25" customHeight="1">
      <c r="B364" s="113"/>
      <c r="D364" s="563"/>
      <c r="E364" s="577" t="s">
        <v>1067</v>
      </c>
      <c r="L364" s="61"/>
      <c r="M364" s="62"/>
      <c r="N364" s="63"/>
      <c r="O364" s="62"/>
      <c r="P364" s="63"/>
      <c r="Q364" s="62"/>
      <c r="R364" s="63"/>
      <c r="S364" s="68"/>
      <c r="T364" s="64"/>
      <c r="U364" s="68"/>
      <c r="V364" s="64"/>
      <c r="W364" s="68"/>
      <c r="X364" s="117"/>
      <c r="Y364" s="173"/>
      <c r="Z364" s="65"/>
    </row>
    <row r="365" ht="14.25" customHeight="1">
      <c r="B365" s="113"/>
      <c r="D365" s="572"/>
      <c r="E365" s="577" t="s">
        <v>1068</v>
      </c>
      <c r="L365" s="61"/>
      <c r="M365" s="62"/>
      <c r="N365" s="63"/>
      <c r="O365" s="62"/>
      <c r="P365" s="63"/>
      <c r="Q365" s="62"/>
      <c r="R365" s="63"/>
      <c r="S365" s="68"/>
      <c r="T365" s="64"/>
      <c r="U365" s="68"/>
      <c r="V365" s="64"/>
      <c r="W365" s="68"/>
      <c r="X365" s="117"/>
      <c r="Y365" s="173"/>
      <c r="Z365" s="65"/>
    </row>
    <row r="366" ht="14.25" customHeight="1">
      <c r="B366" s="113"/>
      <c r="D366" s="572"/>
      <c r="E366" s="577" t="s">
        <v>1069</v>
      </c>
      <c r="L366" s="61"/>
      <c r="M366" s="62"/>
      <c r="N366" s="63"/>
      <c r="O366" s="62"/>
      <c r="P366" s="63"/>
      <c r="Q366" s="62"/>
      <c r="R366" s="63"/>
      <c r="S366" s="68"/>
      <c r="T366" s="64"/>
      <c r="U366" s="68"/>
      <c r="V366" s="64"/>
      <c r="W366" s="68"/>
      <c r="X366" s="117"/>
      <c r="Y366" s="173"/>
      <c r="Z366" s="65"/>
    </row>
    <row r="367" ht="14.25" customHeight="1">
      <c r="B367" s="113"/>
      <c r="D367" s="572"/>
      <c r="E367" s="577" t="s">
        <v>1070</v>
      </c>
      <c r="L367" s="61"/>
      <c r="M367" s="62"/>
      <c r="N367" s="63"/>
      <c r="O367" s="62"/>
      <c r="P367" s="63"/>
      <c r="Q367" s="62"/>
      <c r="R367" s="63"/>
      <c r="S367" s="68"/>
      <c r="T367" s="64"/>
      <c r="U367" s="68"/>
      <c r="V367" s="64"/>
      <c r="W367" s="68"/>
      <c r="X367" s="117"/>
      <c r="Y367" s="173"/>
      <c r="Z367" s="65"/>
    </row>
    <row r="368" ht="14.25" customHeight="1">
      <c r="B368" s="113"/>
      <c r="D368" s="560" t="s">
        <v>1071</v>
      </c>
      <c r="E368" s="561"/>
      <c r="L368" s="61"/>
      <c r="M368" s="62"/>
      <c r="N368" s="63"/>
      <c r="O368" s="62"/>
      <c r="P368" s="63"/>
      <c r="Q368" s="62"/>
      <c r="R368" s="63"/>
      <c r="S368" s="68"/>
      <c r="T368" s="64"/>
      <c r="U368" s="68"/>
      <c r="V368" s="64"/>
      <c r="W368" s="68"/>
      <c r="X368" s="117"/>
      <c r="Y368" s="173"/>
      <c r="Z368" s="65"/>
    </row>
    <row r="369" ht="14.25" customHeight="1">
      <c r="B369" s="113"/>
      <c r="D369" s="574"/>
      <c r="E369" s="573" t="s">
        <v>1043</v>
      </c>
      <c r="L369" s="61"/>
      <c r="M369" s="62"/>
      <c r="N369" s="63"/>
      <c r="O369" s="62"/>
      <c r="P369" s="63"/>
      <c r="Q369" s="62"/>
      <c r="R369" s="63"/>
      <c r="S369" s="68"/>
      <c r="T369" s="64"/>
      <c r="U369" s="68"/>
      <c r="V369" s="64"/>
      <c r="W369" s="68"/>
      <c r="X369" s="117"/>
      <c r="Y369" s="173"/>
      <c r="Z369" s="65"/>
    </row>
    <row r="370" ht="14.25" customHeight="1">
      <c r="B370" s="113"/>
      <c r="D370" s="575"/>
      <c r="E370" s="564" t="s">
        <v>1072</v>
      </c>
      <c r="L370" s="61"/>
      <c r="M370" s="62"/>
      <c r="N370" s="64" t="s">
        <v>131</v>
      </c>
      <c r="O370" s="68" t="s">
        <v>131</v>
      </c>
      <c r="P370" s="64" t="s">
        <v>131</v>
      </c>
      <c r="Q370" s="68" t="s">
        <v>131</v>
      </c>
      <c r="R370" s="64" t="s">
        <v>131</v>
      </c>
      <c r="S370" s="68"/>
      <c r="T370" s="64"/>
      <c r="U370" s="68">
        <v>201265.0</v>
      </c>
      <c r="V370" s="64"/>
      <c r="W370" s="68"/>
      <c r="X370" s="117"/>
      <c r="Y370" s="173"/>
      <c r="Z370" s="65"/>
    </row>
    <row r="371" ht="14.25" customHeight="1">
      <c r="B371" s="113"/>
      <c r="D371" s="575"/>
      <c r="E371" s="565"/>
      <c r="L371" s="61"/>
      <c r="M371" s="62"/>
      <c r="N371" s="64"/>
      <c r="O371" s="68"/>
      <c r="P371" s="64"/>
      <c r="Q371" s="68"/>
      <c r="R371" s="64"/>
      <c r="S371" s="68"/>
      <c r="T371" s="64"/>
      <c r="U371" s="68"/>
      <c r="V371" s="64"/>
      <c r="W371" s="68"/>
      <c r="X371" s="117"/>
      <c r="Y371" s="173"/>
      <c r="Z371" s="65"/>
    </row>
    <row r="372" ht="14.25" customHeight="1">
      <c r="B372" s="113"/>
      <c r="D372" s="574"/>
      <c r="E372" s="573" t="s">
        <v>1046</v>
      </c>
      <c r="L372" s="61"/>
      <c r="M372" s="62"/>
      <c r="N372" s="64"/>
      <c r="O372" s="68"/>
      <c r="P372" s="64"/>
      <c r="Q372" s="68"/>
      <c r="R372" s="64"/>
      <c r="S372" s="68"/>
      <c r="T372" s="64"/>
      <c r="U372" s="68"/>
      <c r="V372" s="64"/>
      <c r="W372" s="68"/>
      <c r="X372" s="117"/>
      <c r="Y372" s="173"/>
      <c r="Z372" s="65"/>
    </row>
    <row r="373" ht="14.25" customHeight="1">
      <c r="B373" s="113"/>
      <c r="D373" s="575"/>
      <c r="E373" s="564" t="s">
        <v>1073</v>
      </c>
      <c r="L373" s="61"/>
      <c r="M373" s="62"/>
      <c r="N373" s="92">
        <v>0.0</v>
      </c>
      <c r="O373" s="145">
        <v>0.0</v>
      </c>
      <c r="P373" s="92">
        <v>0.0</v>
      </c>
      <c r="Q373" s="145">
        <v>0.0</v>
      </c>
      <c r="R373" s="92">
        <v>0.0</v>
      </c>
      <c r="S373" s="145"/>
      <c r="T373" s="92"/>
      <c r="U373" s="145"/>
      <c r="V373" s="92"/>
      <c r="W373" s="68"/>
      <c r="X373" s="117"/>
      <c r="Y373" s="173"/>
      <c r="Z373" s="65"/>
    </row>
    <row r="374" ht="14.25" customHeight="1">
      <c r="B374" s="113"/>
      <c r="D374" s="574"/>
      <c r="E374" s="565"/>
      <c r="L374" s="61"/>
      <c r="M374" s="62"/>
      <c r="N374" s="92"/>
      <c r="O374" s="145"/>
      <c r="P374" s="92"/>
      <c r="Q374" s="145"/>
      <c r="R374" s="92"/>
      <c r="S374" s="145"/>
      <c r="T374" s="92"/>
      <c r="U374" s="145"/>
      <c r="V374" s="92"/>
      <c r="W374" s="68"/>
      <c r="X374" s="117"/>
      <c r="Y374" s="173"/>
      <c r="Z374" s="65"/>
    </row>
    <row r="375" ht="14.25" customHeight="1">
      <c r="B375" s="113"/>
      <c r="D375" s="574"/>
      <c r="E375" s="573" t="s">
        <v>1049</v>
      </c>
      <c r="L375" s="61"/>
      <c r="M375" s="62"/>
      <c r="N375" s="92"/>
      <c r="O375" s="145"/>
      <c r="P375" s="92"/>
      <c r="Q375" s="145"/>
      <c r="R375" s="92"/>
      <c r="S375" s="145"/>
      <c r="T375" s="92"/>
      <c r="U375" s="145"/>
      <c r="V375" s="92"/>
      <c r="W375" s="68"/>
      <c r="X375" s="117"/>
      <c r="Y375" s="173"/>
      <c r="Z375" s="65"/>
    </row>
    <row r="376" ht="14.25" customHeight="1">
      <c r="B376" s="113"/>
      <c r="D376" s="575"/>
      <c r="E376" s="576" t="s">
        <v>1074</v>
      </c>
      <c r="L376" s="61"/>
      <c r="M376" s="62"/>
      <c r="N376" s="92">
        <v>1.0</v>
      </c>
      <c r="O376" s="145">
        <v>1.0</v>
      </c>
      <c r="P376" s="92">
        <v>1.0</v>
      </c>
      <c r="Q376" s="145">
        <v>1.0</v>
      </c>
      <c r="R376" s="92">
        <v>1.0</v>
      </c>
      <c r="S376" s="145"/>
      <c r="T376" s="92"/>
      <c r="U376" s="145"/>
      <c r="V376" s="92"/>
      <c r="W376" s="68"/>
      <c r="X376" s="117"/>
      <c r="Y376" s="173"/>
      <c r="Z376" s="65"/>
    </row>
    <row r="377" ht="14.25" customHeight="1">
      <c r="B377" s="113"/>
      <c r="L377" s="61"/>
      <c r="M377" s="62"/>
      <c r="N377" s="92"/>
      <c r="O377" s="145"/>
      <c r="P377" s="92"/>
      <c r="Q377" s="145"/>
      <c r="R377" s="92"/>
      <c r="S377" s="145"/>
      <c r="T377" s="92"/>
      <c r="U377" s="145"/>
      <c r="V377" s="92"/>
      <c r="W377" s="68"/>
      <c r="X377" s="117"/>
      <c r="Y377" s="173"/>
      <c r="Z377" s="65"/>
    </row>
    <row r="378" ht="14.25" customHeight="1">
      <c r="B378" s="113"/>
      <c r="L378" s="61"/>
      <c r="M378" s="62"/>
      <c r="N378" s="63"/>
      <c r="O378" s="62"/>
      <c r="P378" s="63"/>
      <c r="Q378" s="62"/>
      <c r="R378" s="63"/>
      <c r="S378" s="68"/>
      <c r="T378" s="64"/>
      <c r="U378" s="68"/>
      <c r="V378" s="64"/>
      <c r="W378" s="68"/>
      <c r="X378" s="117"/>
      <c r="Y378" s="173"/>
      <c r="Z378" s="65"/>
    </row>
    <row r="379" ht="14.25" customHeight="1">
      <c r="B379" s="60" t="s">
        <v>1040</v>
      </c>
      <c r="C379" s="579"/>
      <c r="D379" s="579"/>
      <c r="E379" s="579"/>
      <c r="F379" s="579"/>
      <c r="G379" s="579"/>
      <c r="H379" s="579"/>
      <c r="I379" s="579"/>
      <c r="J379" s="579"/>
      <c r="K379" s="579"/>
      <c r="L379" s="580"/>
      <c r="M379" s="581"/>
      <c r="N379" s="63"/>
      <c r="O379" s="62"/>
      <c r="P379" s="63"/>
      <c r="Q379" s="62"/>
      <c r="R379" s="63"/>
      <c r="S379" s="68"/>
      <c r="T379" s="64"/>
      <c r="U379" s="68"/>
      <c r="V379" s="64"/>
      <c r="W379" s="68"/>
      <c r="X379" s="117"/>
      <c r="Y379" s="173"/>
      <c r="Z379" s="65"/>
    </row>
    <row r="380" ht="14.25" customHeight="1">
      <c r="B380" s="60" t="s">
        <v>1075</v>
      </c>
      <c r="C380" s="579"/>
      <c r="D380" s="579"/>
      <c r="E380" s="579"/>
      <c r="F380" s="579"/>
      <c r="G380" s="579"/>
      <c r="H380" s="579"/>
      <c r="I380" s="579"/>
      <c r="J380" s="579"/>
      <c r="K380" s="579"/>
      <c r="L380" s="580"/>
      <c r="M380" s="581"/>
      <c r="N380" s="63"/>
      <c r="O380" s="62"/>
      <c r="P380" s="63"/>
      <c r="Q380" s="62"/>
      <c r="R380" s="63"/>
      <c r="S380" s="68"/>
      <c r="T380" s="64"/>
      <c r="U380" s="68"/>
      <c r="V380" s="64"/>
      <c r="W380" s="68"/>
      <c r="X380" s="117"/>
      <c r="Y380" s="173"/>
      <c r="Z380" s="65"/>
    </row>
    <row r="381" ht="14.25" customHeight="1">
      <c r="B381" s="113"/>
      <c r="L381" s="61"/>
      <c r="M381" s="62"/>
      <c r="N381" s="63"/>
      <c r="O381" s="62"/>
      <c r="P381" s="63"/>
      <c r="Q381" s="62"/>
      <c r="R381" s="63"/>
      <c r="S381" s="68"/>
      <c r="T381" s="64"/>
      <c r="U381" s="68"/>
      <c r="V381" s="64"/>
      <c r="W381" s="68"/>
      <c r="X381" s="117"/>
      <c r="Y381" s="173"/>
      <c r="Z381" s="65"/>
    </row>
    <row r="382" ht="14.25" customHeight="1">
      <c r="B382" s="113"/>
      <c r="D382" s="560" t="s">
        <v>1076</v>
      </c>
      <c r="E382" s="561"/>
      <c r="L382" s="61"/>
      <c r="M382" s="62"/>
      <c r="N382" s="63"/>
      <c r="O382" s="62"/>
      <c r="P382" s="63"/>
      <c r="Q382" s="62"/>
      <c r="R382" s="63"/>
      <c r="S382" s="68"/>
      <c r="T382" s="64"/>
      <c r="U382" s="68"/>
      <c r="V382" s="64"/>
      <c r="W382" s="68"/>
      <c r="X382" s="117"/>
      <c r="Y382" s="173"/>
      <c r="Z382" s="65"/>
    </row>
    <row r="383" ht="14.25" customHeight="1">
      <c r="B383" s="113"/>
      <c r="D383" s="559"/>
      <c r="E383" s="559" t="s">
        <v>1043</v>
      </c>
      <c r="L383" s="61"/>
      <c r="M383" s="62"/>
      <c r="N383" s="64"/>
      <c r="O383" s="68"/>
      <c r="P383" s="64"/>
      <c r="Q383" s="68"/>
      <c r="R383" s="64"/>
      <c r="S383" s="68"/>
      <c r="T383" s="64"/>
      <c r="U383" s="68"/>
      <c r="V383" s="64"/>
      <c r="W383" s="68"/>
      <c r="X383" s="117"/>
      <c r="Y383" s="173"/>
      <c r="Z383" s="65"/>
    </row>
    <row r="384" ht="14.25" customHeight="1">
      <c r="B384" s="113"/>
      <c r="D384" s="559"/>
      <c r="E384" s="576" t="s">
        <v>1077</v>
      </c>
      <c r="L384" s="61"/>
      <c r="M384" s="62"/>
      <c r="N384" s="64">
        <v>280950.0</v>
      </c>
      <c r="O384" s="68">
        <v>280950.0</v>
      </c>
      <c r="P384" s="64">
        <v>280950.0</v>
      </c>
      <c r="Q384" s="68">
        <v>280950.0</v>
      </c>
      <c r="R384" s="64">
        <v>280950.0</v>
      </c>
      <c r="S384" s="68">
        <v>253756.0</v>
      </c>
      <c r="T384" s="64">
        <v>253256.0</v>
      </c>
      <c r="U384" s="68">
        <v>251894.0</v>
      </c>
      <c r="V384" s="64"/>
      <c r="W384" s="68"/>
      <c r="X384" s="117"/>
      <c r="Y384" s="173"/>
      <c r="Z384" s="65"/>
    </row>
    <row r="385" ht="14.25" customHeight="1">
      <c r="B385" s="113"/>
      <c r="D385" s="559"/>
      <c r="E385" s="565"/>
      <c r="L385" s="61"/>
      <c r="M385" s="62"/>
      <c r="N385" s="64"/>
      <c r="O385" s="68"/>
      <c r="P385" s="64"/>
      <c r="Q385" s="62"/>
      <c r="R385" s="63"/>
      <c r="S385" s="68"/>
      <c r="T385" s="64"/>
      <c r="U385" s="68"/>
      <c r="V385" s="64"/>
      <c r="W385" s="68"/>
      <c r="X385" s="117"/>
      <c r="Y385" s="173"/>
      <c r="Z385" s="65"/>
    </row>
    <row r="386" ht="14.25" customHeight="1">
      <c r="B386" s="113"/>
      <c r="D386" s="559"/>
      <c r="E386" s="559" t="s">
        <v>1046</v>
      </c>
      <c r="L386" s="61"/>
      <c r="M386" s="62"/>
      <c r="N386" s="64"/>
      <c r="O386" s="68"/>
      <c r="P386" s="64"/>
      <c r="Q386" s="62"/>
      <c r="R386" s="63"/>
      <c r="S386" s="68"/>
      <c r="T386" s="64"/>
      <c r="U386" s="68"/>
      <c r="V386" s="64"/>
      <c r="W386" s="68"/>
      <c r="X386" s="117"/>
      <c r="Y386" s="173"/>
      <c r="Z386" s="65"/>
    </row>
    <row r="387" ht="14.25" customHeight="1">
      <c r="B387" s="113"/>
      <c r="D387" s="559"/>
      <c r="E387" s="576" t="s">
        <v>1078</v>
      </c>
      <c r="L387" s="61"/>
      <c r="M387" s="62"/>
      <c r="N387" s="92">
        <v>0.0</v>
      </c>
      <c r="O387" s="145">
        <v>0.0</v>
      </c>
      <c r="P387" s="92"/>
      <c r="Q387" s="567"/>
      <c r="R387" s="241"/>
      <c r="S387" s="145">
        <v>0.014800000000000035</v>
      </c>
      <c r="T387" s="92">
        <v>0.0109</v>
      </c>
      <c r="U387" s="145"/>
      <c r="V387" s="92"/>
      <c r="W387" s="68"/>
      <c r="X387" s="117"/>
      <c r="Y387" s="173"/>
      <c r="Z387" s="65"/>
    </row>
    <row r="388" ht="14.25" customHeight="1">
      <c r="B388" s="113"/>
      <c r="D388" s="559"/>
      <c r="E388" s="565"/>
      <c r="L388" s="61"/>
      <c r="M388" s="62"/>
      <c r="N388" s="92"/>
      <c r="O388" s="145"/>
      <c r="P388" s="92"/>
      <c r="Q388" s="567"/>
      <c r="R388" s="241"/>
      <c r="S388" s="145"/>
      <c r="T388" s="92"/>
      <c r="U388" s="145"/>
      <c r="V388" s="92"/>
      <c r="W388" s="68"/>
      <c r="X388" s="117"/>
      <c r="Y388" s="173"/>
      <c r="Z388" s="65"/>
    </row>
    <row r="389" ht="14.25" customHeight="1">
      <c r="B389" s="113"/>
      <c r="D389" s="559"/>
      <c r="E389" s="559" t="s">
        <v>1049</v>
      </c>
      <c r="L389" s="61"/>
      <c r="M389" s="62"/>
      <c r="N389" s="92"/>
      <c r="O389" s="145"/>
      <c r="P389" s="92"/>
      <c r="Q389" s="567"/>
      <c r="R389" s="241"/>
      <c r="S389" s="145"/>
      <c r="T389" s="92"/>
      <c r="U389" s="145"/>
      <c r="V389" s="92"/>
      <c r="W389" s="68"/>
      <c r="X389" s="117"/>
      <c r="Y389" s="173"/>
      <c r="Z389" s="65"/>
    </row>
    <row r="390" ht="14.25" customHeight="1">
      <c r="B390" s="113"/>
      <c r="D390" s="559"/>
      <c r="E390" s="564" t="s">
        <v>1079</v>
      </c>
      <c r="L390" s="61"/>
      <c r="M390" s="62"/>
      <c r="N390" s="92">
        <v>1.0</v>
      </c>
      <c r="O390" s="145">
        <v>1.0</v>
      </c>
      <c r="P390" s="92">
        <v>1.0</v>
      </c>
      <c r="Q390" s="567"/>
      <c r="R390" s="241"/>
      <c r="S390" s="145">
        <v>0.9852</v>
      </c>
      <c r="T390" s="92">
        <v>0.9859</v>
      </c>
      <c r="U390" s="145">
        <v>0.9757</v>
      </c>
      <c r="V390" s="92"/>
      <c r="W390" s="68"/>
      <c r="X390" s="117"/>
      <c r="Y390" s="173"/>
      <c r="Z390" s="65"/>
    </row>
    <row r="391" ht="14.25" customHeight="1">
      <c r="B391" s="113"/>
      <c r="D391" s="559"/>
      <c r="E391" s="568"/>
      <c r="L391" s="61"/>
      <c r="M391" s="62"/>
      <c r="N391" s="92"/>
      <c r="O391" s="145"/>
      <c r="P391" s="92"/>
      <c r="Q391" s="567"/>
      <c r="R391" s="241"/>
      <c r="S391" s="145"/>
      <c r="T391" s="92"/>
      <c r="U391" s="145"/>
      <c r="V391" s="92"/>
      <c r="W391" s="68"/>
      <c r="X391" s="117"/>
      <c r="Y391" s="173"/>
      <c r="Z391" s="65"/>
    </row>
    <row r="392" ht="14.25" customHeight="1">
      <c r="B392" s="113"/>
      <c r="D392" s="560" t="s">
        <v>1080</v>
      </c>
      <c r="E392" s="561"/>
      <c r="L392" s="61"/>
      <c r="M392" s="62"/>
      <c r="N392" s="92"/>
      <c r="O392" s="145"/>
      <c r="P392" s="92"/>
      <c r="Q392" s="567"/>
      <c r="R392" s="241"/>
      <c r="S392" s="145"/>
      <c r="T392" s="92"/>
      <c r="U392" s="145"/>
      <c r="V392" s="92"/>
      <c r="W392" s="68"/>
      <c r="X392" s="117"/>
      <c r="Y392" s="173"/>
      <c r="Z392" s="65"/>
    </row>
    <row r="393" ht="14.25" customHeight="1">
      <c r="B393" s="113"/>
      <c r="D393" s="559"/>
      <c r="E393" s="559" t="s">
        <v>1043</v>
      </c>
      <c r="L393" s="61"/>
      <c r="M393" s="62"/>
      <c r="N393" s="64"/>
      <c r="O393" s="68"/>
      <c r="P393" s="64"/>
      <c r="Q393" s="62"/>
      <c r="R393" s="63"/>
      <c r="S393" s="68"/>
      <c r="T393" s="64"/>
      <c r="U393" s="68"/>
      <c r="V393" s="64"/>
      <c r="W393" s="68"/>
      <c r="X393" s="117"/>
      <c r="Y393" s="173"/>
      <c r="Z393" s="65"/>
    </row>
    <row r="394" ht="14.25" customHeight="1">
      <c r="B394" s="113"/>
      <c r="D394" s="559"/>
      <c r="E394" s="564" t="s">
        <v>1081</v>
      </c>
      <c r="L394" s="61"/>
      <c r="M394" s="62"/>
      <c r="N394" s="64">
        <v>68270.0</v>
      </c>
      <c r="O394" s="68">
        <v>68270.0</v>
      </c>
      <c r="P394" s="64">
        <v>68270.0</v>
      </c>
      <c r="Q394" s="68">
        <v>68270.0</v>
      </c>
      <c r="R394" s="64">
        <v>68270.0</v>
      </c>
      <c r="S394" s="68">
        <v>68270.0</v>
      </c>
      <c r="T394" s="64">
        <v>68692.0</v>
      </c>
      <c r="U394" s="68">
        <v>106944.0</v>
      </c>
      <c r="V394" s="64"/>
      <c r="W394" s="68"/>
      <c r="X394" s="117"/>
      <c r="Y394" s="173"/>
      <c r="Z394" s="65"/>
    </row>
    <row r="395" ht="14.25" hidden="1" customHeight="1">
      <c r="B395" s="113"/>
      <c r="D395" s="559"/>
      <c r="E395" s="564" t="s">
        <v>1082</v>
      </c>
      <c r="L395" s="61"/>
      <c r="M395" s="62"/>
      <c r="N395" s="64"/>
      <c r="O395" s="68"/>
      <c r="P395" s="64"/>
      <c r="Q395" s="62"/>
      <c r="R395" s="63"/>
      <c r="S395" s="68"/>
      <c r="T395" s="64"/>
      <c r="U395" s="68"/>
      <c r="V395" s="64"/>
      <c r="W395" s="68"/>
      <c r="X395" s="117"/>
      <c r="Y395" s="173"/>
      <c r="Z395" s="65"/>
    </row>
    <row r="396" ht="14.25" hidden="1" customHeight="1">
      <c r="B396" s="113"/>
      <c r="D396" s="559"/>
      <c r="E396" s="564" t="s">
        <v>1083</v>
      </c>
      <c r="L396" s="61"/>
      <c r="M396" s="62"/>
      <c r="N396" s="64"/>
      <c r="O396" s="68"/>
      <c r="P396" s="64"/>
      <c r="Q396" s="62"/>
      <c r="R396" s="63"/>
      <c r="S396" s="68"/>
      <c r="T396" s="64"/>
      <c r="U396" s="68"/>
      <c r="V396" s="64"/>
      <c r="W396" s="68"/>
      <c r="X396" s="117"/>
      <c r="Y396" s="173"/>
      <c r="Z396" s="65"/>
    </row>
    <row r="397" ht="14.25" customHeight="1">
      <c r="B397" s="113"/>
      <c r="D397" s="559"/>
      <c r="E397" s="568"/>
      <c r="L397" s="61"/>
      <c r="M397" s="62"/>
      <c r="N397" s="64"/>
      <c r="O397" s="68"/>
      <c r="P397" s="64"/>
      <c r="Q397" s="62"/>
      <c r="R397" s="63"/>
      <c r="S397" s="68"/>
      <c r="T397" s="64"/>
      <c r="U397" s="68"/>
      <c r="V397" s="64"/>
      <c r="W397" s="68"/>
      <c r="X397" s="117"/>
      <c r="Y397" s="173"/>
      <c r="Z397" s="65"/>
    </row>
    <row r="398" ht="14.25" customHeight="1">
      <c r="B398" s="113"/>
      <c r="D398" s="560" t="s">
        <v>1084</v>
      </c>
      <c r="E398" s="561"/>
      <c r="L398" s="61"/>
      <c r="M398" s="62"/>
      <c r="N398" s="64"/>
      <c r="O398" s="68"/>
      <c r="P398" s="64"/>
      <c r="Q398" s="62"/>
      <c r="R398" s="63"/>
      <c r="S398" s="68"/>
      <c r="T398" s="64"/>
      <c r="U398" s="68"/>
      <c r="V398" s="64"/>
      <c r="W398" s="68"/>
      <c r="X398" s="117"/>
      <c r="Y398" s="173"/>
      <c r="Z398" s="65"/>
    </row>
    <row r="399" ht="14.25" customHeight="1">
      <c r="B399" s="113"/>
      <c r="D399" s="574"/>
      <c r="E399" s="573" t="s">
        <v>1043</v>
      </c>
      <c r="L399" s="61"/>
      <c r="M399" s="62"/>
      <c r="N399" s="64"/>
      <c r="O399" s="68"/>
      <c r="P399" s="64"/>
      <c r="Q399" s="68"/>
      <c r="R399" s="64"/>
      <c r="S399" s="68"/>
      <c r="T399" s="64"/>
      <c r="U399" s="68"/>
      <c r="V399" s="64"/>
      <c r="W399" s="68"/>
      <c r="X399" s="117"/>
      <c r="Y399" s="173"/>
      <c r="Z399" s="65"/>
    </row>
    <row r="400" ht="14.25" customHeight="1">
      <c r="B400" s="113"/>
      <c r="D400" s="574"/>
      <c r="E400" s="564" t="s">
        <v>1085</v>
      </c>
      <c r="L400" s="61"/>
      <c r="M400" s="62"/>
      <c r="N400" s="64">
        <v>19694.0</v>
      </c>
      <c r="O400" s="68">
        <v>19694.0</v>
      </c>
      <c r="P400" s="64">
        <v>19694.0</v>
      </c>
      <c r="Q400" s="68">
        <v>19694.0</v>
      </c>
      <c r="R400" s="64">
        <v>19694.0</v>
      </c>
      <c r="S400" s="68">
        <v>18867.0</v>
      </c>
      <c r="T400" s="64">
        <v>19008.0</v>
      </c>
      <c r="U400" s="68">
        <v>19008.0</v>
      </c>
      <c r="V400" s="64"/>
      <c r="W400" s="68"/>
      <c r="X400" s="117"/>
      <c r="Y400" s="173"/>
      <c r="Z400" s="65"/>
    </row>
    <row r="401" ht="14.25" customHeight="1">
      <c r="B401" s="113"/>
      <c r="D401" s="574"/>
      <c r="E401" s="565"/>
      <c r="L401" s="61"/>
      <c r="M401" s="62"/>
      <c r="N401" s="64"/>
      <c r="O401" s="68"/>
      <c r="P401" s="64"/>
      <c r="Q401" s="62"/>
      <c r="R401" s="63"/>
      <c r="S401" s="68"/>
      <c r="T401" s="64"/>
      <c r="U401" s="68"/>
      <c r="V401" s="64"/>
      <c r="W401" s="68"/>
      <c r="X401" s="117"/>
      <c r="Y401" s="173"/>
      <c r="Z401" s="65"/>
    </row>
    <row r="402" ht="14.25" customHeight="1">
      <c r="B402" s="113"/>
      <c r="D402" s="574"/>
      <c r="E402" s="573" t="s">
        <v>1046</v>
      </c>
      <c r="L402" s="61"/>
      <c r="M402" s="62"/>
      <c r="N402" s="64"/>
      <c r="O402" s="68"/>
      <c r="P402" s="64"/>
      <c r="Q402" s="62"/>
      <c r="R402" s="63"/>
      <c r="S402" s="68"/>
      <c r="T402" s="64"/>
      <c r="U402" s="68"/>
      <c r="V402" s="64"/>
      <c r="W402" s="68"/>
      <c r="X402" s="117"/>
      <c r="Y402" s="173"/>
      <c r="Z402" s="65"/>
    </row>
    <row r="403" ht="14.25" customHeight="1">
      <c r="B403" s="113"/>
      <c r="D403" s="574"/>
      <c r="E403" s="576" t="s">
        <v>1078</v>
      </c>
      <c r="L403" s="61"/>
      <c r="M403" s="62"/>
      <c r="N403" s="92">
        <v>0.0</v>
      </c>
      <c r="O403" s="145">
        <v>0.0</v>
      </c>
      <c r="P403" s="92"/>
      <c r="Q403" s="567"/>
      <c r="R403" s="241"/>
      <c r="S403" s="145">
        <v>0.0</v>
      </c>
      <c r="T403" s="92">
        <v>0.0455</v>
      </c>
      <c r="U403" s="145"/>
      <c r="V403" s="92"/>
      <c r="W403" s="68"/>
      <c r="X403" s="117"/>
      <c r="Y403" s="173"/>
      <c r="Z403" s="65"/>
    </row>
    <row r="404" ht="14.25" customHeight="1">
      <c r="B404" s="113"/>
      <c r="D404" s="574"/>
      <c r="E404" s="582"/>
      <c r="L404" s="61"/>
      <c r="M404" s="62"/>
      <c r="N404" s="92"/>
      <c r="O404" s="145"/>
      <c r="P404" s="92"/>
      <c r="Q404" s="567"/>
      <c r="R404" s="241"/>
      <c r="S404" s="145"/>
      <c r="T404" s="92"/>
      <c r="U404" s="145"/>
      <c r="V404" s="92"/>
      <c r="W404" s="68"/>
      <c r="X404" s="117"/>
      <c r="Y404" s="173"/>
      <c r="Z404" s="65"/>
    </row>
    <row r="405" ht="14.25" customHeight="1">
      <c r="B405" s="113"/>
      <c r="D405" s="574"/>
      <c r="E405" s="573" t="s">
        <v>1049</v>
      </c>
      <c r="L405" s="61"/>
      <c r="M405" s="62"/>
      <c r="N405" s="92"/>
      <c r="O405" s="145"/>
      <c r="P405" s="92"/>
      <c r="Q405" s="567"/>
      <c r="R405" s="241"/>
      <c r="S405" s="145"/>
      <c r="T405" s="92"/>
      <c r="U405" s="145"/>
      <c r="V405" s="92"/>
      <c r="W405" s="68"/>
      <c r="X405" s="117"/>
      <c r="Y405" s="173"/>
      <c r="Z405" s="65"/>
    </row>
    <row r="406" ht="14.25" customHeight="1">
      <c r="B406" s="113"/>
      <c r="D406" s="574"/>
      <c r="E406" s="576" t="s">
        <v>1086</v>
      </c>
      <c r="L406" s="61"/>
      <c r="M406" s="62"/>
      <c r="N406" s="92">
        <v>1.0</v>
      </c>
      <c r="O406" s="145">
        <v>1.0</v>
      </c>
      <c r="P406" s="92">
        <v>1.0</v>
      </c>
      <c r="Q406" s="567"/>
      <c r="R406" s="241"/>
      <c r="S406" s="145">
        <v>0.5117</v>
      </c>
      <c r="T406" s="92">
        <v>0.7235</v>
      </c>
      <c r="U406" s="145">
        <v>0.96</v>
      </c>
      <c r="V406" s="92"/>
      <c r="W406" s="68"/>
      <c r="X406" s="117"/>
      <c r="Y406" s="173"/>
      <c r="Z406" s="65"/>
    </row>
    <row r="407" ht="14.25" customHeight="1">
      <c r="B407" s="113"/>
      <c r="D407" s="574"/>
      <c r="E407" s="565"/>
      <c r="L407" s="61"/>
      <c r="M407" s="62"/>
      <c r="N407" s="92"/>
      <c r="O407" s="145"/>
      <c r="P407" s="92"/>
      <c r="Q407" s="567"/>
      <c r="R407" s="241"/>
      <c r="S407" s="145"/>
      <c r="T407" s="92"/>
      <c r="U407" s="145"/>
      <c r="V407" s="92"/>
      <c r="W407" s="68"/>
      <c r="X407" s="117"/>
      <c r="Y407" s="173"/>
      <c r="Z407" s="65"/>
    </row>
    <row r="408" ht="14.25" customHeight="1">
      <c r="B408" s="113"/>
      <c r="D408" s="560" t="s">
        <v>1087</v>
      </c>
      <c r="E408" s="561"/>
      <c r="L408" s="61"/>
      <c r="M408" s="62"/>
      <c r="N408" s="64"/>
      <c r="O408" s="68"/>
      <c r="P408" s="64"/>
      <c r="Q408" s="62"/>
      <c r="R408" s="63"/>
      <c r="S408" s="68"/>
      <c r="T408" s="64"/>
      <c r="U408" s="68"/>
      <c r="V408" s="64"/>
      <c r="W408" s="68"/>
      <c r="X408" s="117"/>
      <c r="Y408" s="173"/>
      <c r="Z408" s="65"/>
    </row>
    <row r="409" ht="14.25" customHeight="1">
      <c r="B409" s="113"/>
      <c r="D409" s="574"/>
      <c r="E409" s="573" t="s">
        <v>1043</v>
      </c>
      <c r="L409" s="61"/>
      <c r="M409" s="62"/>
      <c r="N409" s="64"/>
      <c r="O409" s="68"/>
      <c r="P409" s="64"/>
      <c r="Q409" s="62"/>
      <c r="R409" s="63"/>
      <c r="S409" s="68"/>
      <c r="T409" s="64"/>
      <c r="U409" s="68"/>
      <c r="V409" s="64"/>
      <c r="W409" s="68"/>
      <c r="X409" s="117"/>
      <c r="Y409" s="173"/>
      <c r="Z409" s="65"/>
    </row>
    <row r="410" ht="14.25" customHeight="1">
      <c r="B410" s="113"/>
      <c r="D410" s="575"/>
      <c r="E410" s="576" t="s">
        <v>1088</v>
      </c>
      <c r="L410" s="61"/>
      <c r="M410" s="62"/>
      <c r="N410" s="229">
        <v>1453.05</v>
      </c>
      <c r="O410" s="230">
        <v>0.0</v>
      </c>
      <c r="P410" s="229">
        <v>3390.0</v>
      </c>
      <c r="Q410" s="230">
        <v>4844.0</v>
      </c>
      <c r="R410" s="229">
        <f t="shared" ref="R410:R411" si="21">SUM(N410:Q410)</f>
        <v>9687.05</v>
      </c>
      <c r="S410" s="68">
        <v>2725.0</v>
      </c>
      <c r="T410" s="64">
        <v>3951.0</v>
      </c>
      <c r="U410" s="68">
        <v>2544.0</v>
      </c>
      <c r="V410" s="64"/>
      <c r="W410" s="68">
        <f t="shared" ref="W410:W411" si="22">SUM(S410:V410)</f>
        <v>9220</v>
      </c>
      <c r="X410" s="117"/>
      <c r="Y410" s="173"/>
      <c r="Z410" s="65"/>
    </row>
    <row r="411" ht="14.25" customHeight="1">
      <c r="B411" s="113"/>
      <c r="D411" s="575"/>
      <c r="E411" s="576" t="s">
        <v>1089</v>
      </c>
      <c r="L411" s="61"/>
      <c r="M411" s="62"/>
      <c r="N411" s="229">
        <v>1775.85</v>
      </c>
      <c r="O411" s="230">
        <v>0.0</v>
      </c>
      <c r="P411" s="229">
        <v>4144.0</v>
      </c>
      <c r="Q411" s="230">
        <v>5919.0</v>
      </c>
      <c r="R411" s="229">
        <f t="shared" si="21"/>
        <v>11838.85</v>
      </c>
      <c r="S411" s="68">
        <v>1544.0</v>
      </c>
      <c r="T411" s="64">
        <v>157.0</v>
      </c>
      <c r="U411" s="68">
        <v>2702.0</v>
      </c>
      <c r="V411" s="64"/>
      <c r="W411" s="68">
        <f t="shared" si="22"/>
        <v>4403</v>
      </c>
      <c r="X411" s="117"/>
      <c r="Y411" s="173"/>
      <c r="Z411" s="65"/>
    </row>
    <row r="412" ht="14.25" customHeight="1">
      <c r="B412" s="113"/>
      <c r="D412" s="575"/>
      <c r="E412" s="582"/>
      <c r="L412" s="61"/>
      <c r="M412" s="62"/>
      <c r="N412" s="64"/>
      <c r="O412" s="68"/>
      <c r="P412" s="64"/>
      <c r="Q412" s="62"/>
      <c r="R412" s="63"/>
      <c r="S412" s="68"/>
      <c r="T412" s="64"/>
      <c r="U412" s="68"/>
      <c r="V412" s="64"/>
      <c r="W412" s="68"/>
      <c r="X412" s="117"/>
      <c r="Y412" s="173"/>
      <c r="Z412" s="65"/>
    </row>
    <row r="413" ht="14.25" customHeight="1">
      <c r="B413" s="113"/>
      <c r="D413" s="574"/>
      <c r="E413" s="573" t="s">
        <v>1046</v>
      </c>
      <c r="L413" s="61"/>
      <c r="M413" s="62"/>
      <c r="N413" s="64"/>
      <c r="O413" s="68"/>
      <c r="P413" s="64"/>
      <c r="Q413" s="62"/>
      <c r="R413" s="63"/>
      <c r="S413" s="68"/>
      <c r="T413" s="64"/>
      <c r="U413" s="68"/>
      <c r="V413" s="64"/>
      <c r="W413" s="68"/>
      <c r="X413" s="117"/>
      <c r="Y413" s="173"/>
      <c r="Z413" s="65"/>
    </row>
    <row r="414" ht="14.25" customHeight="1">
      <c r="B414" s="113"/>
      <c r="D414" s="582"/>
      <c r="E414" s="583" t="s">
        <v>1090</v>
      </c>
      <c r="L414" s="61"/>
      <c r="M414" s="62"/>
      <c r="N414" s="92">
        <v>0.0</v>
      </c>
      <c r="O414" s="145">
        <v>0.0</v>
      </c>
      <c r="P414" s="92">
        <v>0.0</v>
      </c>
      <c r="Q414" s="567"/>
      <c r="R414" s="241"/>
      <c r="S414" s="145">
        <v>0.0</v>
      </c>
      <c r="T414" s="92">
        <v>0.0</v>
      </c>
      <c r="U414" s="145">
        <v>0.0</v>
      </c>
      <c r="V414" s="92"/>
      <c r="W414" s="68"/>
      <c r="X414" s="117"/>
      <c r="Y414" s="173"/>
      <c r="Z414" s="65"/>
    </row>
    <row r="415" ht="14.25" customHeight="1">
      <c r="B415" s="113"/>
      <c r="D415" s="582"/>
      <c r="E415" s="583" t="s">
        <v>1091</v>
      </c>
      <c r="L415" s="61"/>
      <c r="M415" s="62"/>
      <c r="N415" s="92">
        <v>0.0</v>
      </c>
      <c r="O415" s="145">
        <v>0.0</v>
      </c>
      <c r="P415" s="92">
        <v>0.0</v>
      </c>
      <c r="Q415" s="567"/>
      <c r="R415" s="241"/>
      <c r="S415" s="145">
        <v>0.0</v>
      </c>
      <c r="T415" s="92">
        <v>0.0</v>
      </c>
      <c r="U415" s="145">
        <v>0.0</v>
      </c>
      <c r="V415" s="92"/>
      <c r="W415" s="68"/>
      <c r="X415" s="117"/>
      <c r="Y415" s="173"/>
      <c r="Z415" s="65"/>
    </row>
    <row r="416" ht="14.25" customHeight="1">
      <c r="B416" s="113"/>
      <c r="D416" s="574"/>
      <c r="E416" s="576" t="s">
        <v>1092</v>
      </c>
      <c r="L416" s="61"/>
      <c r="M416" s="62"/>
      <c r="N416" s="92">
        <v>0.0</v>
      </c>
      <c r="O416" s="145">
        <v>0.0</v>
      </c>
      <c r="P416" s="92">
        <v>0.0</v>
      </c>
      <c r="Q416" s="567"/>
      <c r="R416" s="241"/>
      <c r="S416" s="145">
        <v>0.0</v>
      </c>
      <c r="T416" s="92">
        <v>0.0</v>
      </c>
      <c r="U416" s="145">
        <v>0.0</v>
      </c>
      <c r="V416" s="92"/>
      <c r="W416" s="68"/>
      <c r="X416" s="117"/>
      <c r="Y416" s="173"/>
      <c r="Z416" s="65"/>
    </row>
    <row r="417" ht="14.25" customHeight="1">
      <c r="B417" s="113"/>
      <c r="D417" s="575"/>
      <c r="E417" s="576" t="s">
        <v>1093</v>
      </c>
      <c r="L417" s="61"/>
      <c r="M417" s="62"/>
      <c r="N417" s="92">
        <v>0.0</v>
      </c>
      <c r="O417" s="145">
        <v>0.0</v>
      </c>
      <c r="P417" s="92">
        <v>0.0</v>
      </c>
      <c r="Q417" s="567"/>
      <c r="R417" s="241"/>
      <c r="S417" s="145">
        <v>0.0</v>
      </c>
      <c r="T417" s="92">
        <v>0.0</v>
      </c>
      <c r="U417" s="145">
        <v>0.0</v>
      </c>
      <c r="V417" s="92"/>
      <c r="W417" s="68"/>
      <c r="X417" s="117"/>
      <c r="Y417" s="173"/>
      <c r="Z417" s="65"/>
    </row>
    <row r="418" ht="14.25" customHeight="1">
      <c r="B418" s="113"/>
      <c r="D418" s="575"/>
      <c r="E418" s="582"/>
      <c r="L418" s="61"/>
      <c r="M418" s="62"/>
      <c r="N418" s="92"/>
      <c r="O418" s="145"/>
      <c r="P418" s="92"/>
      <c r="Q418" s="567"/>
      <c r="R418" s="241"/>
      <c r="S418" s="145"/>
      <c r="T418" s="92"/>
      <c r="U418" s="145"/>
      <c r="V418" s="92"/>
      <c r="W418" s="68"/>
      <c r="X418" s="117"/>
      <c r="Y418" s="173"/>
      <c r="Z418" s="65"/>
    </row>
    <row r="419" ht="14.25" customHeight="1">
      <c r="B419" s="113"/>
      <c r="D419" s="574"/>
      <c r="E419" s="573" t="s">
        <v>1049</v>
      </c>
      <c r="L419" s="61"/>
      <c r="M419" s="62"/>
      <c r="N419" s="92"/>
      <c r="O419" s="145"/>
      <c r="P419" s="92"/>
      <c r="Q419" s="567"/>
      <c r="R419" s="241"/>
      <c r="S419" s="145"/>
      <c r="T419" s="92"/>
      <c r="U419" s="145"/>
      <c r="V419" s="92"/>
      <c r="W419" s="68"/>
      <c r="X419" s="117"/>
      <c r="Y419" s="173"/>
      <c r="Z419" s="65"/>
    </row>
    <row r="420" ht="14.25" customHeight="1">
      <c r="B420" s="113"/>
      <c r="D420" s="582"/>
      <c r="E420" s="583" t="s">
        <v>1094</v>
      </c>
      <c r="L420" s="61"/>
      <c r="M420" s="62"/>
      <c r="N420" s="92">
        <v>1.0</v>
      </c>
      <c r="O420" s="145">
        <v>1.0</v>
      </c>
      <c r="P420" s="92">
        <v>1.0</v>
      </c>
      <c r="Q420" s="567"/>
      <c r="R420" s="241"/>
      <c r="S420" s="145">
        <v>1.0</v>
      </c>
      <c r="T420" s="92">
        <v>1.0</v>
      </c>
      <c r="U420" s="145">
        <v>1.0</v>
      </c>
      <c r="V420" s="92"/>
      <c r="W420" s="68"/>
      <c r="X420" s="117"/>
      <c r="Y420" s="173"/>
      <c r="Z420" s="65"/>
    </row>
    <row r="421" ht="14.25" customHeight="1">
      <c r="B421" s="113"/>
      <c r="D421" s="574"/>
      <c r="E421" s="573"/>
      <c r="L421" s="61"/>
      <c r="M421" s="62"/>
      <c r="N421" s="92"/>
      <c r="O421" s="145"/>
      <c r="P421" s="92"/>
      <c r="Q421" s="567"/>
      <c r="R421" s="241"/>
      <c r="S421" s="145"/>
      <c r="T421" s="92"/>
      <c r="U421" s="145"/>
      <c r="V421" s="92"/>
      <c r="W421" s="68"/>
      <c r="X421" s="117"/>
      <c r="Y421" s="173"/>
      <c r="Z421" s="65"/>
    </row>
    <row r="422" ht="14.25" customHeight="1">
      <c r="B422" s="113"/>
      <c r="D422" s="560" t="s">
        <v>1095</v>
      </c>
      <c r="E422" s="561"/>
      <c r="L422" s="61"/>
      <c r="M422" s="62"/>
      <c r="N422" s="64"/>
      <c r="O422" s="68"/>
      <c r="P422" s="64"/>
      <c r="Q422" s="62"/>
      <c r="R422" s="63"/>
      <c r="S422" s="68"/>
      <c r="T422" s="64"/>
      <c r="U422" s="68"/>
      <c r="V422" s="64"/>
      <c r="W422" s="68"/>
      <c r="X422" s="117"/>
      <c r="Y422" s="173"/>
      <c r="Z422" s="65"/>
    </row>
    <row r="423" ht="14.25" customHeight="1">
      <c r="B423" s="113"/>
      <c r="D423" s="574"/>
      <c r="E423" s="573" t="s">
        <v>1043</v>
      </c>
      <c r="L423" s="61"/>
      <c r="M423" s="62"/>
      <c r="N423" s="64"/>
      <c r="O423" s="68"/>
      <c r="P423" s="64"/>
      <c r="Q423" s="62"/>
      <c r="R423" s="63"/>
      <c r="S423" s="68"/>
      <c r="T423" s="64"/>
      <c r="U423" s="68"/>
      <c r="V423" s="64"/>
      <c r="W423" s="68"/>
      <c r="X423" s="117"/>
      <c r="Y423" s="173"/>
      <c r="Z423" s="65"/>
    </row>
    <row r="424" ht="14.25" customHeight="1">
      <c r="B424" s="113"/>
      <c r="D424" s="574"/>
      <c r="E424" s="564" t="s">
        <v>1096</v>
      </c>
      <c r="L424" s="61"/>
      <c r="M424" s="62"/>
      <c r="N424" s="64">
        <v>186.0</v>
      </c>
      <c r="O424" s="68">
        <v>394.0</v>
      </c>
      <c r="P424" s="64">
        <v>431.0</v>
      </c>
      <c r="Q424" s="62"/>
      <c r="R424" s="63"/>
      <c r="S424" s="68">
        <v>186.0</v>
      </c>
      <c r="T424" s="64">
        <v>0.0</v>
      </c>
      <c r="U424" s="68">
        <v>24.0</v>
      </c>
      <c r="V424" s="64"/>
      <c r="W424" s="68"/>
      <c r="X424" s="117"/>
      <c r="Y424" s="173"/>
      <c r="Z424" s="65"/>
    </row>
    <row r="425" ht="14.25" customHeight="1">
      <c r="B425" s="113"/>
      <c r="D425" s="574"/>
      <c r="E425" s="564" t="s">
        <v>1097</v>
      </c>
      <c r="L425" s="61"/>
      <c r="M425" s="62"/>
      <c r="N425" s="64">
        <v>35.0</v>
      </c>
      <c r="O425" s="68">
        <v>35.0</v>
      </c>
      <c r="P425" s="64">
        <v>35.0</v>
      </c>
      <c r="Q425" s="62"/>
      <c r="R425" s="63"/>
      <c r="S425" s="68">
        <v>35.0</v>
      </c>
      <c r="T425" s="64">
        <v>35.0</v>
      </c>
      <c r="U425" s="68">
        <v>35.0</v>
      </c>
      <c r="V425" s="64"/>
      <c r="W425" s="68"/>
      <c r="X425" s="117"/>
      <c r="Y425" s="173"/>
      <c r="Z425" s="65"/>
    </row>
    <row r="426" ht="14.25" customHeight="1">
      <c r="B426" s="113"/>
      <c r="D426" s="574"/>
      <c r="E426" s="564" t="s">
        <v>1192</v>
      </c>
      <c r="L426" s="61"/>
      <c r="M426" s="62"/>
      <c r="N426" s="64">
        <v>152.0</v>
      </c>
      <c r="O426" s="68">
        <v>219.0</v>
      </c>
      <c r="P426" s="64">
        <v>219.0</v>
      </c>
      <c r="Q426" s="62"/>
      <c r="R426" s="63"/>
      <c r="S426" s="68">
        <v>152.0</v>
      </c>
      <c r="T426" s="64">
        <v>152.0</v>
      </c>
      <c r="U426" s="68">
        <v>152.0</v>
      </c>
      <c r="V426" s="64"/>
      <c r="W426" s="68"/>
      <c r="X426" s="117"/>
      <c r="Y426" s="173"/>
      <c r="Z426" s="65"/>
    </row>
    <row r="427" ht="14.25" customHeight="1">
      <c r="B427" s="113"/>
      <c r="D427" s="574"/>
      <c r="E427" s="564" t="s">
        <v>1100</v>
      </c>
      <c r="L427" s="61"/>
      <c r="M427" s="62"/>
      <c r="N427" s="64">
        <v>45649.0</v>
      </c>
      <c r="O427" s="68">
        <v>62172.0</v>
      </c>
      <c r="P427" s="64">
        <v>62172.0</v>
      </c>
      <c r="Q427" s="62"/>
      <c r="R427" s="63"/>
      <c r="S427" s="68">
        <v>45649.0</v>
      </c>
      <c r="T427" s="64">
        <v>0.0</v>
      </c>
      <c r="U427" s="68">
        <v>5711.0</v>
      </c>
      <c r="V427" s="64"/>
      <c r="W427" s="68"/>
      <c r="X427" s="117"/>
      <c r="Y427" s="173"/>
      <c r="Z427" s="65"/>
    </row>
    <row r="428" ht="14.25" customHeight="1">
      <c r="B428" s="113"/>
      <c r="D428" s="574"/>
      <c r="E428" s="564" t="s">
        <v>1193</v>
      </c>
      <c r="L428" s="61"/>
      <c r="M428" s="62"/>
      <c r="N428" s="64">
        <v>37070.0</v>
      </c>
      <c r="O428" s="68">
        <v>37070.0</v>
      </c>
      <c r="P428" s="64">
        <v>37070.0</v>
      </c>
      <c r="Q428" s="62"/>
      <c r="R428" s="63"/>
      <c r="S428" s="68">
        <v>37070.0</v>
      </c>
      <c r="T428" s="64">
        <v>37070.0</v>
      </c>
      <c r="U428" s="68">
        <v>37070.0</v>
      </c>
      <c r="V428" s="64"/>
      <c r="W428" s="68"/>
      <c r="X428" s="117"/>
      <c r="Y428" s="173"/>
      <c r="Z428" s="65"/>
    </row>
    <row r="429" ht="14.25" customHeight="1">
      <c r="B429" s="113"/>
      <c r="D429" s="574"/>
      <c r="E429" s="565"/>
      <c r="L429" s="61"/>
      <c r="M429" s="62"/>
      <c r="N429" s="63"/>
      <c r="O429" s="62"/>
      <c r="P429" s="63"/>
      <c r="Q429" s="62"/>
      <c r="R429" s="63"/>
      <c r="S429" s="68"/>
      <c r="T429" s="64"/>
      <c r="U429" s="68"/>
      <c r="V429" s="64"/>
      <c r="W429" s="68"/>
      <c r="X429" s="117"/>
      <c r="Y429" s="173"/>
      <c r="Z429" s="65"/>
    </row>
    <row r="430" ht="14.25" customHeight="1">
      <c r="B430" s="113"/>
      <c r="D430" s="574"/>
      <c r="E430" s="573" t="s">
        <v>1049</v>
      </c>
      <c r="L430" s="61"/>
      <c r="M430" s="62"/>
      <c r="N430" s="63"/>
      <c r="O430" s="62"/>
      <c r="P430" s="63"/>
      <c r="Q430" s="62"/>
      <c r="R430" s="63"/>
      <c r="S430" s="68"/>
      <c r="T430" s="64"/>
      <c r="U430" s="68"/>
      <c r="V430" s="64"/>
      <c r="W430" s="68"/>
      <c r="X430" s="117"/>
      <c r="Y430" s="173"/>
      <c r="Z430" s="65"/>
    </row>
    <row r="431" ht="14.25" customHeight="1">
      <c r="B431" s="113"/>
      <c r="D431" s="585"/>
      <c r="E431" s="586" t="s">
        <v>1103</v>
      </c>
      <c r="L431" s="61"/>
      <c r="M431" s="62"/>
      <c r="N431" s="241">
        <v>1.0</v>
      </c>
      <c r="O431" s="567">
        <v>1.0</v>
      </c>
      <c r="P431" s="241">
        <v>1.0</v>
      </c>
      <c r="Q431" s="567"/>
      <c r="R431" s="241"/>
      <c r="S431" s="145">
        <v>1.0</v>
      </c>
      <c r="T431" s="92">
        <v>0.83</v>
      </c>
      <c r="U431" s="145">
        <v>0.83</v>
      </c>
      <c r="V431" s="92"/>
      <c r="W431" s="68"/>
      <c r="X431" s="117"/>
      <c r="Y431" s="173"/>
      <c r="Z431" s="65"/>
    </row>
    <row r="432" ht="14.25" customHeight="1">
      <c r="B432" s="113"/>
      <c r="D432" s="574"/>
      <c r="E432" s="565"/>
      <c r="L432" s="61"/>
      <c r="M432" s="62"/>
      <c r="N432" s="241"/>
      <c r="O432" s="567"/>
      <c r="P432" s="241"/>
      <c r="Q432" s="567"/>
      <c r="R432" s="241"/>
      <c r="S432" s="145"/>
      <c r="T432" s="92"/>
      <c r="U432" s="145"/>
      <c r="V432" s="92"/>
      <c r="W432" s="68"/>
      <c r="X432" s="117"/>
      <c r="Y432" s="173"/>
      <c r="Z432" s="65"/>
    </row>
    <row r="433" ht="14.25" customHeight="1">
      <c r="B433" s="113"/>
      <c r="L433" s="61"/>
      <c r="M433" s="62"/>
      <c r="N433" s="63"/>
      <c r="O433" s="62"/>
      <c r="P433" s="63"/>
      <c r="Q433" s="62"/>
      <c r="R433" s="63"/>
      <c r="S433" s="68"/>
      <c r="T433" s="64"/>
      <c r="U433" s="68"/>
      <c r="V433" s="64"/>
      <c r="W433" s="68"/>
      <c r="X433" s="117"/>
      <c r="Y433" s="173"/>
      <c r="Z433" s="65"/>
    </row>
    <row r="434" ht="14.25" customHeight="1">
      <c r="B434" s="113"/>
      <c r="L434" s="61"/>
      <c r="M434" s="62"/>
      <c r="N434" s="63"/>
      <c r="O434" s="62"/>
      <c r="P434" s="63"/>
      <c r="Q434" s="62"/>
      <c r="R434" s="63"/>
      <c r="S434" s="68"/>
      <c r="T434" s="64"/>
      <c r="U434" s="68"/>
      <c r="V434" s="64"/>
      <c r="W434" s="68"/>
      <c r="X434" s="117"/>
      <c r="Y434" s="173"/>
      <c r="Z434" s="65"/>
    </row>
    <row r="435" ht="14.25" customHeight="1">
      <c r="B435" s="113"/>
      <c r="D435" s="579" t="s">
        <v>1104</v>
      </c>
      <c r="L435" s="61"/>
      <c r="M435" s="62"/>
      <c r="N435" s="63"/>
      <c r="O435" s="62"/>
      <c r="P435" s="63"/>
      <c r="Q435" s="62"/>
      <c r="R435" s="63"/>
      <c r="S435" s="68"/>
      <c r="T435" s="64"/>
      <c r="U435" s="68"/>
      <c r="V435" s="64"/>
      <c r="W435" s="68"/>
      <c r="X435" s="117"/>
      <c r="Y435" s="173"/>
      <c r="Z435" s="65"/>
    </row>
    <row r="436" ht="14.25" customHeight="1">
      <c r="B436" s="113"/>
      <c r="L436" s="61"/>
      <c r="M436" s="62"/>
      <c r="N436" s="63"/>
      <c r="O436" s="62"/>
      <c r="P436" s="63"/>
      <c r="Q436" s="62"/>
      <c r="R436" s="63"/>
      <c r="S436" s="68"/>
      <c r="T436" s="64"/>
      <c r="U436" s="68"/>
      <c r="V436" s="64"/>
      <c r="W436" s="68"/>
      <c r="X436" s="117"/>
      <c r="Y436" s="173"/>
      <c r="Z436" s="65"/>
    </row>
    <row r="437" ht="14.25" customHeight="1">
      <c r="B437" s="113"/>
      <c r="D437" s="118" t="s">
        <v>1105</v>
      </c>
      <c r="L437" s="61"/>
      <c r="M437" s="62"/>
      <c r="N437" s="64">
        <v>60.0</v>
      </c>
      <c r="O437" s="68">
        <v>60.0</v>
      </c>
      <c r="P437" s="64">
        <v>60.0</v>
      </c>
      <c r="Q437" s="68">
        <v>60.0</v>
      </c>
      <c r="R437" s="64">
        <v>60.0</v>
      </c>
      <c r="S437" s="68">
        <v>55.0</v>
      </c>
      <c r="T437" s="64">
        <v>54.0</v>
      </c>
      <c r="U437" s="68">
        <v>40.0</v>
      </c>
      <c r="V437" s="64"/>
      <c r="W437" s="68"/>
      <c r="X437" s="117"/>
      <c r="Y437" s="173"/>
      <c r="Z437" s="65"/>
    </row>
    <row r="438" ht="14.25" customHeight="1">
      <c r="B438" s="113"/>
      <c r="D438" s="118" t="s">
        <v>471</v>
      </c>
      <c r="L438" s="61"/>
      <c r="M438" s="62"/>
      <c r="N438" s="64"/>
      <c r="O438" s="68"/>
      <c r="P438" s="64"/>
      <c r="Q438" s="68"/>
      <c r="R438" s="64"/>
      <c r="S438" s="68">
        <v>43.0</v>
      </c>
      <c r="T438" s="64">
        <v>31.0</v>
      </c>
      <c r="U438" s="68">
        <v>52.0</v>
      </c>
      <c r="V438" s="64"/>
      <c r="W438" s="68"/>
      <c r="X438" s="117"/>
      <c r="Y438" s="173"/>
      <c r="Z438" s="65"/>
    </row>
    <row r="439" ht="14.25" customHeight="1">
      <c r="B439" s="113"/>
      <c r="D439" s="118" t="s">
        <v>472</v>
      </c>
      <c r="L439" s="61"/>
      <c r="M439" s="62"/>
      <c r="N439" s="64"/>
      <c r="O439" s="68"/>
      <c r="P439" s="64"/>
      <c r="Q439" s="68"/>
      <c r="R439" s="64"/>
      <c r="S439" s="68">
        <v>17.0</v>
      </c>
      <c r="T439" s="64">
        <v>8.0</v>
      </c>
      <c r="U439" s="68">
        <v>36.0</v>
      </c>
      <c r="V439" s="64"/>
      <c r="W439" s="68"/>
      <c r="X439" s="117"/>
      <c r="Y439" s="173"/>
      <c r="Z439" s="65"/>
    </row>
    <row r="440" ht="14.25" customHeight="1">
      <c r="B440" s="113"/>
      <c r="D440" s="118" t="s">
        <v>1106</v>
      </c>
      <c r="L440" s="61"/>
      <c r="M440" s="62"/>
      <c r="N440" s="64"/>
      <c r="O440" s="68"/>
      <c r="P440" s="64"/>
      <c r="Q440" s="68"/>
      <c r="R440" s="64"/>
      <c r="S440" s="68">
        <v>33.0</v>
      </c>
      <c r="T440" s="64">
        <v>25.0</v>
      </c>
      <c r="U440" s="68">
        <v>20.0</v>
      </c>
      <c r="V440" s="64"/>
      <c r="W440" s="68"/>
      <c r="X440" s="117"/>
      <c r="Y440" s="173"/>
      <c r="Z440" s="65"/>
    </row>
    <row r="441" ht="14.25" customHeight="1">
      <c r="B441" s="113"/>
      <c r="L441" s="61"/>
      <c r="M441" s="62"/>
      <c r="N441" s="64"/>
      <c r="O441" s="68"/>
      <c r="P441" s="64"/>
      <c r="Q441" s="68"/>
      <c r="R441" s="64"/>
      <c r="S441" s="68"/>
      <c r="T441" s="64"/>
      <c r="U441" s="68"/>
      <c r="V441" s="64"/>
      <c r="W441" s="68"/>
      <c r="X441" s="117"/>
      <c r="Y441" s="173"/>
      <c r="Z441" s="65"/>
    </row>
    <row r="442" ht="14.25" customHeight="1">
      <c r="B442" s="60" t="s">
        <v>1107</v>
      </c>
      <c r="L442" s="61"/>
      <c r="M442" s="62"/>
      <c r="N442" s="63"/>
      <c r="O442" s="62"/>
      <c r="P442" s="63"/>
      <c r="Q442" s="62"/>
      <c r="R442" s="63"/>
      <c r="S442" s="68"/>
      <c r="T442" s="64"/>
      <c r="U442" s="68"/>
      <c r="V442" s="64"/>
      <c r="W442" s="68"/>
      <c r="X442" s="117"/>
      <c r="Y442" s="173"/>
      <c r="Z442" s="65"/>
    </row>
    <row r="443" ht="14.25" customHeight="1">
      <c r="B443" s="113"/>
      <c r="L443" s="61"/>
      <c r="M443" s="62"/>
      <c r="N443" s="63"/>
      <c r="O443" s="62"/>
      <c r="P443" s="63"/>
      <c r="Q443" s="62"/>
      <c r="R443" s="63"/>
      <c r="S443" s="68"/>
      <c r="T443" s="64"/>
      <c r="U443" s="68"/>
      <c r="V443" s="64"/>
      <c r="W443" s="68"/>
      <c r="X443" s="117"/>
      <c r="Y443" s="173"/>
      <c r="Z443" s="65"/>
    </row>
    <row r="444" ht="14.25" customHeight="1">
      <c r="B444" s="113"/>
      <c r="D444" s="588" t="s">
        <v>1108</v>
      </c>
      <c r="E444" s="589"/>
      <c r="L444" s="61"/>
      <c r="M444" s="62"/>
      <c r="N444" s="63"/>
      <c r="O444" s="62"/>
      <c r="P444" s="63"/>
      <c r="Q444" s="62"/>
      <c r="R444" s="63"/>
      <c r="S444" s="68"/>
      <c r="T444" s="64"/>
      <c r="U444" s="68"/>
      <c r="V444" s="64"/>
      <c r="W444" s="68"/>
      <c r="X444" s="117"/>
      <c r="Y444" s="173"/>
      <c r="Z444" s="65"/>
    </row>
    <row r="445" ht="14.25" customHeight="1">
      <c r="B445" s="113"/>
      <c r="D445" s="91" t="s">
        <v>1043</v>
      </c>
      <c r="E445" s="70" t="s">
        <v>1109</v>
      </c>
      <c r="L445" s="61"/>
      <c r="M445" s="62"/>
      <c r="N445" s="63"/>
      <c r="O445" s="62"/>
      <c r="P445" s="63"/>
      <c r="Q445" s="62"/>
      <c r="R445" s="63"/>
      <c r="S445" s="68"/>
      <c r="T445" s="64"/>
      <c r="U445" s="68"/>
      <c r="V445" s="64"/>
      <c r="W445" s="68"/>
      <c r="X445" s="117"/>
      <c r="Y445" s="173"/>
      <c r="Z445" s="65"/>
    </row>
    <row r="446" ht="14.25" customHeight="1">
      <c r="B446" s="113"/>
      <c r="D446" s="70"/>
      <c r="E446" s="91" t="s">
        <v>1110</v>
      </c>
      <c r="L446" s="61"/>
      <c r="M446" s="62"/>
      <c r="N446" s="64"/>
      <c r="O446" s="68"/>
      <c r="P446" s="64"/>
      <c r="Q446" s="68"/>
      <c r="R446" s="64"/>
      <c r="S446" s="68"/>
      <c r="T446" s="64"/>
      <c r="U446" s="68"/>
      <c r="V446" s="64"/>
      <c r="W446" s="68"/>
      <c r="X446" s="117"/>
      <c r="Y446" s="173"/>
      <c r="Z446" s="65"/>
    </row>
    <row r="447" ht="14.25" customHeight="1">
      <c r="B447" s="113"/>
      <c r="D447" s="70"/>
      <c r="E447" s="70" t="s">
        <v>1111</v>
      </c>
      <c r="L447" s="61"/>
      <c r="M447" s="62"/>
      <c r="N447" s="64">
        <v>460.0</v>
      </c>
      <c r="O447" s="68">
        <v>405.0</v>
      </c>
      <c r="P447" s="64">
        <v>843.0</v>
      </c>
      <c r="Q447" s="68"/>
      <c r="R447" s="64">
        <f t="shared" ref="R447:R451" si="23">SUM(N447:Q447)</f>
        <v>1708</v>
      </c>
      <c r="S447" s="68">
        <v>462.0</v>
      </c>
      <c r="T447" s="64">
        <v>409.0</v>
      </c>
      <c r="U447" s="68">
        <v>860.0</v>
      </c>
      <c r="V447" s="64"/>
      <c r="W447" s="68">
        <f t="shared" ref="W447:W451" si="24">SUM(S447:V447)</f>
        <v>1731</v>
      </c>
      <c r="X447" s="117"/>
      <c r="Y447" s="173"/>
      <c r="Z447" s="65"/>
    </row>
    <row r="448" ht="14.25" customHeight="1">
      <c r="B448" s="113"/>
      <c r="D448" s="70"/>
      <c r="E448" s="70" t="s">
        <v>1112</v>
      </c>
      <c r="L448" s="61"/>
      <c r="M448" s="62"/>
      <c r="N448" s="64">
        <v>180.0</v>
      </c>
      <c r="O448" s="68">
        <v>90.0</v>
      </c>
      <c r="P448" s="64">
        <v>120.0</v>
      </c>
      <c r="Q448" s="68"/>
      <c r="R448" s="64">
        <f t="shared" si="23"/>
        <v>390</v>
      </c>
      <c r="S448" s="68">
        <v>181.0</v>
      </c>
      <c r="T448" s="64">
        <v>91.0</v>
      </c>
      <c r="U448" s="68">
        <v>123.0</v>
      </c>
      <c r="V448" s="64"/>
      <c r="W448" s="68">
        <f t="shared" si="24"/>
        <v>395</v>
      </c>
      <c r="X448" s="117"/>
      <c r="Y448" s="173"/>
      <c r="Z448" s="65"/>
    </row>
    <row r="449" ht="14.25" customHeight="1">
      <c r="B449" s="113"/>
      <c r="D449" s="70"/>
      <c r="E449" s="70" t="s">
        <v>1113</v>
      </c>
      <c r="L449" s="61"/>
      <c r="M449" s="62"/>
      <c r="N449" s="64">
        <v>59.0</v>
      </c>
      <c r="O449" s="68">
        <v>105.0</v>
      </c>
      <c r="P449" s="64">
        <v>418.0</v>
      </c>
      <c r="Q449" s="68"/>
      <c r="R449" s="64">
        <f t="shared" si="23"/>
        <v>582</v>
      </c>
      <c r="S449" s="68">
        <v>59.0</v>
      </c>
      <c r="T449" s="64">
        <v>108.0</v>
      </c>
      <c r="U449" s="68">
        <v>425.0</v>
      </c>
      <c r="V449" s="64"/>
      <c r="W449" s="68">
        <f t="shared" si="24"/>
        <v>592</v>
      </c>
      <c r="X449" s="117"/>
      <c r="Y449" s="173"/>
      <c r="Z449" s="65"/>
    </row>
    <row r="450" ht="14.25" customHeight="1">
      <c r="B450" s="113"/>
      <c r="D450" s="70"/>
      <c r="E450" s="70" t="s">
        <v>1114</v>
      </c>
      <c r="L450" s="61"/>
      <c r="M450" s="62"/>
      <c r="N450" s="64">
        <v>15.0</v>
      </c>
      <c r="O450" s="68">
        <v>140.0</v>
      </c>
      <c r="P450" s="64">
        <v>115.0</v>
      </c>
      <c r="Q450" s="68"/>
      <c r="R450" s="64">
        <f t="shared" si="23"/>
        <v>270</v>
      </c>
      <c r="S450" s="68">
        <v>11.0</v>
      </c>
      <c r="T450" s="64">
        <v>137.0</v>
      </c>
      <c r="U450" s="68">
        <v>91.0</v>
      </c>
      <c r="V450" s="64"/>
      <c r="W450" s="68">
        <f t="shared" si="24"/>
        <v>239</v>
      </c>
      <c r="X450" s="117"/>
      <c r="Y450" s="173"/>
      <c r="Z450" s="65"/>
    </row>
    <row r="451" ht="14.25" customHeight="1">
      <c r="B451" s="113"/>
      <c r="D451" s="70"/>
      <c r="E451" s="70" t="s">
        <v>1115</v>
      </c>
      <c r="L451" s="61"/>
      <c r="M451" s="62"/>
      <c r="N451" s="64">
        <v>6.0</v>
      </c>
      <c r="O451" s="68">
        <v>70.0</v>
      </c>
      <c r="P451" s="64">
        <v>349.0</v>
      </c>
      <c r="Q451" s="68"/>
      <c r="R451" s="64">
        <f t="shared" si="23"/>
        <v>425</v>
      </c>
      <c r="S451" s="68">
        <v>0.0</v>
      </c>
      <c r="T451" s="64">
        <v>70.0</v>
      </c>
      <c r="U451" s="68">
        <v>349.0</v>
      </c>
      <c r="V451" s="64"/>
      <c r="W451" s="68">
        <f t="shared" si="24"/>
        <v>419</v>
      </c>
      <c r="X451" s="117"/>
      <c r="Y451" s="173"/>
      <c r="Z451" s="65"/>
    </row>
    <row r="452" ht="14.25" customHeight="1">
      <c r="B452" s="113"/>
      <c r="D452" s="70"/>
      <c r="E452" s="70"/>
      <c r="L452" s="61"/>
      <c r="M452" s="62"/>
      <c r="N452" s="64"/>
      <c r="O452" s="68"/>
      <c r="P452" s="64"/>
      <c r="Q452" s="68"/>
      <c r="R452" s="64"/>
      <c r="S452" s="68"/>
      <c r="T452" s="64"/>
      <c r="U452" s="68"/>
      <c r="V452" s="64"/>
      <c r="W452" s="68"/>
      <c r="X452" s="117"/>
      <c r="Y452" s="173"/>
      <c r="Z452" s="65"/>
    </row>
    <row r="453" ht="14.25" customHeight="1">
      <c r="B453" s="113"/>
      <c r="D453" s="185" t="s">
        <v>1046</v>
      </c>
      <c r="E453" s="97" t="s">
        <v>1116</v>
      </c>
      <c r="L453" s="61"/>
      <c r="M453" s="62"/>
      <c r="N453" s="64"/>
      <c r="O453" s="68"/>
      <c r="P453" s="64"/>
      <c r="Q453" s="68"/>
      <c r="R453" s="64"/>
      <c r="S453" s="68"/>
      <c r="T453" s="64"/>
      <c r="U453" s="68"/>
      <c r="V453" s="64"/>
      <c r="W453" s="68"/>
      <c r="X453" s="117"/>
      <c r="Y453" s="173"/>
      <c r="Z453" s="65"/>
    </row>
    <row r="454" ht="14.25" customHeight="1">
      <c r="B454" s="113"/>
      <c r="D454" s="70"/>
      <c r="E454" s="70" t="s">
        <v>1111</v>
      </c>
      <c r="L454" s="61"/>
      <c r="M454" s="62"/>
      <c r="N454" s="92">
        <v>1.0</v>
      </c>
      <c r="O454" s="92">
        <v>1.0</v>
      </c>
      <c r="P454" s="92">
        <v>1.0</v>
      </c>
      <c r="Q454" s="145"/>
      <c r="R454" s="92"/>
      <c r="S454" s="145">
        <v>1.0</v>
      </c>
      <c r="T454" s="92">
        <v>1.0</v>
      </c>
      <c r="U454" s="92">
        <v>1.0</v>
      </c>
      <c r="V454" s="92"/>
      <c r="W454" s="68"/>
      <c r="X454" s="117"/>
      <c r="Y454" s="173"/>
      <c r="Z454" s="65"/>
    </row>
    <row r="455" ht="14.25" customHeight="1">
      <c r="B455" s="113"/>
      <c r="D455" s="70"/>
      <c r="E455" s="70" t="s">
        <v>1112</v>
      </c>
      <c r="L455" s="61"/>
      <c r="M455" s="62"/>
      <c r="N455" s="92">
        <v>1.0</v>
      </c>
      <c r="O455" s="92">
        <v>1.0</v>
      </c>
      <c r="P455" s="92">
        <v>1.0</v>
      </c>
      <c r="Q455" s="145"/>
      <c r="R455" s="92"/>
      <c r="S455" s="145">
        <v>1.0</v>
      </c>
      <c r="T455" s="92">
        <v>1.0</v>
      </c>
      <c r="U455" s="92">
        <v>1.0</v>
      </c>
      <c r="V455" s="92"/>
      <c r="W455" s="68"/>
      <c r="X455" s="117"/>
      <c r="Y455" s="173"/>
      <c r="Z455" s="65"/>
    </row>
    <row r="456" ht="14.25" customHeight="1">
      <c r="B456" s="113"/>
      <c r="D456" s="70"/>
      <c r="E456" s="70" t="s">
        <v>1113</v>
      </c>
      <c r="L456" s="61"/>
      <c r="M456" s="62"/>
      <c r="N456" s="92">
        <v>1.0</v>
      </c>
      <c r="O456" s="92">
        <v>1.0</v>
      </c>
      <c r="P456" s="92">
        <v>1.0</v>
      </c>
      <c r="Q456" s="145"/>
      <c r="R456" s="92"/>
      <c r="S456" s="145">
        <v>1.0</v>
      </c>
      <c r="T456" s="92">
        <v>1.0</v>
      </c>
      <c r="U456" s="92">
        <v>1.0</v>
      </c>
      <c r="V456" s="92"/>
      <c r="W456" s="68"/>
      <c r="X456" s="117"/>
      <c r="Y456" s="173"/>
      <c r="Z456" s="65"/>
    </row>
    <row r="457" ht="14.25" customHeight="1">
      <c r="B457" s="113"/>
      <c r="D457" s="70"/>
      <c r="E457" s="70" t="s">
        <v>1114</v>
      </c>
      <c r="L457" s="61"/>
      <c r="M457" s="62"/>
      <c r="N457" s="92">
        <v>1.0</v>
      </c>
      <c r="O457" s="92">
        <v>1.0</v>
      </c>
      <c r="P457" s="92">
        <v>1.0</v>
      </c>
      <c r="Q457" s="145"/>
      <c r="R457" s="92"/>
      <c r="S457" s="145">
        <v>1.0</v>
      </c>
      <c r="T457" s="92">
        <v>1.0</v>
      </c>
      <c r="U457" s="92">
        <v>1.0</v>
      </c>
      <c r="V457" s="92"/>
      <c r="W457" s="68"/>
      <c r="X457" s="117"/>
      <c r="Y457" s="173"/>
      <c r="Z457" s="65"/>
    </row>
    <row r="458" ht="14.25" customHeight="1">
      <c r="B458" s="113"/>
      <c r="D458" s="70"/>
      <c r="E458" s="70" t="s">
        <v>1115</v>
      </c>
      <c r="L458" s="61"/>
      <c r="M458" s="62"/>
      <c r="N458" s="92">
        <v>1.0</v>
      </c>
      <c r="O458" s="92">
        <v>1.0</v>
      </c>
      <c r="P458" s="92">
        <v>1.0</v>
      </c>
      <c r="Q458" s="145"/>
      <c r="R458" s="92"/>
      <c r="S458" s="145"/>
      <c r="T458" s="92">
        <v>1.0</v>
      </c>
      <c r="U458" s="92">
        <v>1.0</v>
      </c>
      <c r="V458" s="92"/>
      <c r="W458" s="68"/>
      <c r="X458" s="117"/>
      <c r="Y458" s="173"/>
      <c r="Z458" s="65"/>
    </row>
    <row r="459" ht="14.25" customHeight="1">
      <c r="B459" s="113"/>
      <c r="D459" s="77"/>
      <c r="E459" s="70"/>
      <c r="L459" s="61"/>
      <c r="M459" s="62"/>
      <c r="N459" s="92"/>
      <c r="O459" s="145"/>
      <c r="P459" s="92"/>
      <c r="Q459" s="145"/>
      <c r="R459" s="92"/>
      <c r="S459" s="145"/>
      <c r="T459" s="92"/>
      <c r="U459" s="145"/>
      <c r="V459" s="92"/>
      <c r="W459" s="68"/>
      <c r="X459" s="117"/>
      <c r="Y459" s="173"/>
      <c r="Z459" s="65"/>
    </row>
    <row r="460" ht="14.25" customHeight="1">
      <c r="B460" s="113"/>
      <c r="D460" s="231" t="s">
        <v>1049</v>
      </c>
      <c r="E460" s="97" t="s">
        <v>1117</v>
      </c>
      <c r="L460" s="61"/>
      <c r="M460" s="62"/>
      <c r="N460" s="92"/>
      <c r="O460" s="145"/>
      <c r="P460" s="92"/>
      <c r="Q460" s="145"/>
      <c r="R460" s="92"/>
      <c r="S460" s="145"/>
      <c r="T460" s="92"/>
      <c r="U460" s="145"/>
      <c r="V460" s="92"/>
      <c r="W460" s="68"/>
      <c r="X460" s="117"/>
      <c r="Y460" s="173"/>
      <c r="Z460" s="65"/>
    </row>
    <row r="461" ht="14.25" customHeight="1">
      <c r="B461" s="113"/>
      <c r="D461" s="70"/>
      <c r="E461" s="70" t="s">
        <v>1111</v>
      </c>
      <c r="L461" s="61"/>
      <c r="M461" s="62"/>
      <c r="N461" s="92">
        <v>1.0</v>
      </c>
      <c r="O461" s="92">
        <v>1.0</v>
      </c>
      <c r="P461" s="92">
        <v>1.0</v>
      </c>
      <c r="Q461" s="145"/>
      <c r="R461" s="92"/>
      <c r="S461" s="145">
        <v>1.0</v>
      </c>
      <c r="T461" s="92">
        <v>1.0</v>
      </c>
      <c r="U461" s="92">
        <v>1.0</v>
      </c>
      <c r="V461" s="92"/>
      <c r="W461" s="68"/>
      <c r="X461" s="117"/>
      <c r="Y461" s="173"/>
      <c r="Z461" s="65"/>
    </row>
    <row r="462" ht="14.25" customHeight="1">
      <c r="B462" s="113"/>
      <c r="D462" s="70"/>
      <c r="E462" s="70" t="s">
        <v>1112</v>
      </c>
      <c r="L462" s="61"/>
      <c r="M462" s="62"/>
      <c r="N462" s="92">
        <v>1.0</v>
      </c>
      <c r="O462" s="92">
        <v>1.0</v>
      </c>
      <c r="P462" s="92">
        <v>1.0</v>
      </c>
      <c r="Q462" s="145"/>
      <c r="R462" s="92"/>
      <c r="S462" s="145">
        <v>1.0</v>
      </c>
      <c r="T462" s="92">
        <v>1.0</v>
      </c>
      <c r="U462" s="92">
        <v>1.0</v>
      </c>
      <c r="V462" s="92"/>
      <c r="W462" s="68"/>
      <c r="X462" s="117"/>
      <c r="Y462" s="173"/>
      <c r="Z462" s="65"/>
    </row>
    <row r="463" ht="14.25" customHeight="1">
      <c r="B463" s="113"/>
      <c r="D463" s="70"/>
      <c r="E463" s="70" t="s">
        <v>1113</v>
      </c>
      <c r="L463" s="61"/>
      <c r="M463" s="62"/>
      <c r="N463" s="92">
        <v>1.0</v>
      </c>
      <c r="O463" s="92">
        <v>1.0</v>
      </c>
      <c r="P463" s="92">
        <v>1.0</v>
      </c>
      <c r="Q463" s="145"/>
      <c r="R463" s="92"/>
      <c r="S463" s="145">
        <v>1.0</v>
      </c>
      <c r="T463" s="92">
        <v>1.0</v>
      </c>
      <c r="U463" s="92">
        <v>1.0</v>
      </c>
      <c r="V463" s="92"/>
      <c r="W463" s="68"/>
      <c r="X463" s="117"/>
      <c r="Y463" s="173"/>
      <c r="Z463" s="65"/>
    </row>
    <row r="464" ht="14.25" customHeight="1">
      <c r="B464" s="113"/>
      <c r="D464" s="70"/>
      <c r="E464" s="70" t="s">
        <v>1114</v>
      </c>
      <c r="L464" s="61"/>
      <c r="M464" s="62"/>
      <c r="N464" s="92">
        <v>1.0</v>
      </c>
      <c r="O464" s="92">
        <v>1.0</v>
      </c>
      <c r="P464" s="92">
        <v>1.0</v>
      </c>
      <c r="Q464" s="145"/>
      <c r="R464" s="92"/>
      <c r="S464" s="145">
        <v>1.0</v>
      </c>
      <c r="T464" s="92">
        <v>1.0</v>
      </c>
      <c r="U464" s="92">
        <v>1.0</v>
      </c>
      <c r="V464" s="92"/>
      <c r="W464" s="68"/>
      <c r="X464" s="117"/>
      <c r="Y464" s="173"/>
      <c r="Z464" s="65"/>
    </row>
    <row r="465" ht="14.25" customHeight="1">
      <c r="B465" s="113"/>
      <c r="D465" s="70"/>
      <c r="E465" s="70" t="s">
        <v>1115</v>
      </c>
      <c r="L465" s="61"/>
      <c r="M465" s="62"/>
      <c r="N465" s="92">
        <v>1.0</v>
      </c>
      <c r="O465" s="92">
        <v>1.0</v>
      </c>
      <c r="P465" s="92">
        <v>1.0</v>
      </c>
      <c r="Q465" s="145"/>
      <c r="R465" s="92"/>
      <c r="S465" s="145"/>
      <c r="T465" s="92">
        <v>1.0</v>
      </c>
      <c r="U465" s="92">
        <v>1.0</v>
      </c>
      <c r="V465" s="92"/>
      <c r="W465" s="68"/>
      <c r="X465" s="117"/>
      <c r="Y465" s="173"/>
      <c r="Z465" s="65"/>
    </row>
    <row r="466" ht="14.25" customHeight="1">
      <c r="B466" s="113"/>
      <c r="D466" s="183"/>
      <c r="E466" s="70"/>
      <c r="L466" s="61"/>
      <c r="M466" s="62"/>
      <c r="N466" s="64"/>
      <c r="O466" s="68"/>
      <c r="P466" s="64"/>
      <c r="Q466" s="68"/>
      <c r="R466" s="64"/>
      <c r="S466" s="68"/>
      <c r="T466" s="64"/>
      <c r="U466" s="68"/>
      <c r="V466" s="64"/>
      <c r="W466" s="68"/>
      <c r="X466" s="117"/>
      <c r="Y466" s="173"/>
      <c r="Z466" s="65"/>
    </row>
    <row r="467" ht="14.25" customHeight="1">
      <c r="B467" s="113"/>
      <c r="D467" s="588" t="s">
        <v>1118</v>
      </c>
      <c r="E467" s="589"/>
      <c r="L467" s="61"/>
      <c r="M467" s="62"/>
      <c r="N467" s="64"/>
      <c r="O467" s="68"/>
      <c r="P467" s="64"/>
      <c r="Q467" s="68"/>
      <c r="R467" s="64"/>
      <c r="S467" s="68"/>
      <c r="T467" s="64"/>
      <c r="U467" s="68"/>
      <c r="V467" s="64"/>
      <c r="W467" s="68"/>
      <c r="X467" s="117"/>
      <c r="Y467" s="173"/>
      <c r="Z467" s="65"/>
    </row>
    <row r="468" ht="14.25" customHeight="1">
      <c r="B468" s="113"/>
      <c r="D468" s="200" t="s">
        <v>1043</v>
      </c>
      <c r="E468" s="70" t="s">
        <v>1119</v>
      </c>
      <c r="L468" s="61"/>
      <c r="M468" s="62"/>
      <c r="N468" s="64"/>
      <c r="O468" s="68"/>
      <c r="P468" s="64"/>
      <c r="Q468" s="68"/>
      <c r="R468" s="64"/>
      <c r="S468" s="68"/>
      <c r="T468" s="64"/>
      <c r="U468" s="68"/>
      <c r="V468" s="64"/>
      <c r="W468" s="68"/>
      <c r="X468" s="117"/>
      <c r="Y468" s="173"/>
      <c r="Z468" s="65"/>
    </row>
    <row r="469" ht="14.25" customHeight="1">
      <c r="B469" s="113"/>
      <c r="D469" s="183"/>
      <c r="E469" s="70"/>
      <c r="L469" s="61"/>
      <c r="M469" s="62"/>
      <c r="N469" s="64"/>
      <c r="O469" s="68"/>
      <c r="P469" s="64"/>
      <c r="Q469" s="68"/>
      <c r="R469" s="64"/>
      <c r="S469" s="68"/>
      <c r="T469" s="64"/>
      <c r="U469" s="68"/>
      <c r="V469" s="64"/>
      <c r="W469" s="68"/>
      <c r="X469" s="117"/>
      <c r="Y469" s="173"/>
      <c r="Z469" s="65"/>
    </row>
    <row r="470" ht="14.25" customHeight="1">
      <c r="B470" s="113"/>
      <c r="D470" s="183"/>
      <c r="E470" s="91" t="s">
        <v>1111</v>
      </c>
      <c r="L470" s="61"/>
      <c r="M470" s="62"/>
      <c r="N470" s="64"/>
      <c r="O470" s="68"/>
      <c r="P470" s="64"/>
      <c r="Q470" s="68"/>
      <c r="R470" s="64">
        <f>SUM(N470:Q470)</f>
        <v>0</v>
      </c>
      <c r="S470" s="68"/>
      <c r="T470" s="64">
        <v>23.0</v>
      </c>
      <c r="U470" s="68">
        <v>14.0</v>
      </c>
      <c r="V470" s="64"/>
      <c r="W470" s="68">
        <f>SUM(S470:V470)</f>
        <v>37</v>
      </c>
      <c r="X470" s="117"/>
      <c r="Y470" s="173"/>
      <c r="Z470" s="65"/>
    </row>
    <row r="471" ht="14.25" customHeight="1">
      <c r="B471" s="113"/>
      <c r="D471" s="183"/>
      <c r="E471" s="70" t="s">
        <v>1112</v>
      </c>
      <c r="L471" s="61"/>
      <c r="M471" s="62"/>
      <c r="N471" s="64"/>
      <c r="O471" s="68"/>
      <c r="P471" s="64"/>
      <c r="Q471" s="68"/>
      <c r="R471" s="64"/>
      <c r="S471" s="68"/>
      <c r="T471" s="64"/>
      <c r="U471" s="68"/>
      <c r="V471" s="64"/>
      <c r="W471" s="68"/>
      <c r="X471" s="117"/>
      <c r="Y471" s="173"/>
      <c r="Z471" s="65"/>
    </row>
    <row r="472" ht="14.25" customHeight="1">
      <c r="B472" s="113"/>
      <c r="D472" s="183"/>
      <c r="E472" s="70" t="s">
        <v>1113</v>
      </c>
      <c r="L472" s="61"/>
      <c r="M472" s="62"/>
      <c r="N472" s="64"/>
      <c r="O472" s="68"/>
      <c r="P472" s="64"/>
      <c r="Q472" s="68"/>
      <c r="R472" s="64"/>
      <c r="S472" s="68"/>
      <c r="T472" s="64"/>
      <c r="U472" s="68"/>
      <c r="V472" s="64"/>
      <c r="W472" s="68"/>
      <c r="X472" s="117"/>
      <c r="Y472" s="173"/>
      <c r="Z472" s="65"/>
    </row>
    <row r="473" ht="14.25" customHeight="1">
      <c r="B473" s="113"/>
      <c r="D473" s="183"/>
      <c r="E473" s="70"/>
      <c r="L473" s="61"/>
      <c r="M473" s="62"/>
      <c r="N473" s="64"/>
      <c r="O473" s="68"/>
      <c r="P473" s="64"/>
      <c r="Q473" s="68"/>
      <c r="R473" s="64"/>
      <c r="S473" s="68"/>
      <c r="T473" s="64"/>
      <c r="U473" s="68"/>
      <c r="V473" s="64"/>
      <c r="W473" s="68"/>
      <c r="X473" s="117"/>
      <c r="Y473" s="173"/>
      <c r="Z473" s="65"/>
    </row>
    <row r="474" ht="14.25" customHeight="1">
      <c r="B474" s="113"/>
      <c r="D474" s="185" t="s">
        <v>1046</v>
      </c>
      <c r="E474" s="70" t="s">
        <v>1120</v>
      </c>
      <c r="L474" s="61"/>
      <c r="M474" s="62"/>
      <c r="N474" s="64"/>
      <c r="O474" s="68"/>
      <c r="P474" s="64"/>
      <c r="Q474" s="68"/>
      <c r="R474" s="64"/>
      <c r="S474" s="68"/>
      <c r="T474" s="64"/>
      <c r="U474" s="68"/>
      <c r="V474" s="64"/>
      <c r="W474" s="68"/>
      <c r="X474" s="117"/>
      <c r="Y474" s="173"/>
      <c r="Z474" s="65"/>
    </row>
    <row r="475" ht="14.25" customHeight="1">
      <c r="B475" s="113"/>
      <c r="D475" s="183"/>
      <c r="E475" s="70" t="s">
        <v>1111</v>
      </c>
      <c r="L475" s="61"/>
      <c r="M475" s="62"/>
      <c r="N475" s="64"/>
      <c r="O475" s="68"/>
      <c r="P475" s="64"/>
      <c r="Q475" s="68"/>
      <c r="R475" s="64"/>
      <c r="S475" s="68"/>
      <c r="T475" s="92">
        <v>1.0</v>
      </c>
      <c r="U475" s="145"/>
      <c r="V475" s="64"/>
      <c r="W475" s="68"/>
      <c r="X475" s="117"/>
      <c r="Y475" s="173"/>
      <c r="Z475" s="65"/>
    </row>
    <row r="476" ht="14.25" customHeight="1">
      <c r="B476" s="113"/>
      <c r="D476" s="183"/>
      <c r="E476" s="70" t="s">
        <v>1112</v>
      </c>
      <c r="L476" s="61"/>
      <c r="M476" s="62"/>
      <c r="N476" s="64"/>
      <c r="O476" s="68"/>
      <c r="P476" s="64"/>
      <c r="Q476" s="68"/>
      <c r="R476" s="64"/>
      <c r="S476" s="68"/>
      <c r="T476" s="64"/>
      <c r="U476" s="68"/>
      <c r="V476" s="64"/>
      <c r="W476" s="68"/>
      <c r="X476" s="117"/>
      <c r="Y476" s="173"/>
      <c r="Z476" s="65"/>
    </row>
    <row r="477" ht="14.25" customHeight="1">
      <c r="B477" s="113"/>
      <c r="D477" s="183"/>
      <c r="E477" s="70" t="s">
        <v>1113</v>
      </c>
      <c r="L477" s="61"/>
      <c r="M477" s="62"/>
      <c r="N477" s="64"/>
      <c r="O477" s="68"/>
      <c r="P477" s="64"/>
      <c r="Q477" s="68"/>
      <c r="R477" s="64"/>
      <c r="S477" s="68"/>
      <c r="T477" s="64"/>
      <c r="U477" s="68"/>
      <c r="V477" s="64"/>
      <c r="W477" s="68"/>
      <c r="X477" s="117"/>
      <c r="Y477" s="173"/>
      <c r="Z477" s="65"/>
    </row>
    <row r="478" ht="14.25" customHeight="1">
      <c r="B478" s="113"/>
      <c r="D478" s="183"/>
      <c r="E478" s="70"/>
      <c r="L478" s="61"/>
      <c r="M478" s="62"/>
      <c r="N478" s="64"/>
      <c r="O478" s="68"/>
      <c r="P478" s="64"/>
      <c r="Q478" s="68"/>
      <c r="R478" s="64"/>
      <c r="S478" s="68"/>
      <c r="T478" s="64"/>
      <c r="U478" s="68"/>
      <c r="V478" s="64"/>
      <c r="W478" s="68"/>
      <c r="X478" s="117"/>
      <c r="Y478" s="173"/>
      <c r="Z478" s="65"/>
    </row>
    <row r="479" ht="14.25" customHeight="1">
      <c r="B479" s="113"/>
      <c r="D479" s="185" t="s">
        <v>1049</v>
      </c>
      <c r="E479" s="70" t="s">
        <v>1121</v>
      </c>
      <c r="L479" s="61"/>
      <c r="M479" s="62"/>
      <c r="N479" s="64"/>
      <c r="O479" s="68"/>
      <c r="P479" s="64"/>
      <c r="Q479" s="68"/>
      <c r="R479" s="64"/>
      <c r="S479" s="68"/>
      <c r="T479" s="64"/>
      <c r="U479" s="68"/>
      <c r="V479" s="64"/>
      <c r="W479" s="68"/>
      <c r="X479" s="117"/>
      <c r="Y479" s="173"/>
      <c r="Z479" s="65"/>
    </row>
    <row r="480" ht="14.25" customHeight="1">
      <c r="B480" s="113"/>
      <c r="D480" s="183"/>
      <c r="E480" s="70" t="s">
        <v>1111</v>
      </c>
      <c r="L480" s="61"/>
      <c r="M480" s="62"/>
      <c r="N480" s="64"/>
      <c r="O480" s="68"/>
      <c r="P480" s="64"/>
      <c r="Q480" s="68"/>
      <c r="R480" s="64"/>
      <c r="S480" s="68"/>
      <c r="T480" s="64"/>
      <c r="U480" s="68"/>
      <c r="V480" s="64"/>
      <c r="W480" s="68"/>
      <c r="X480" s="117"/>
      <c r="Y480" s="173"/>
      <c r="Z480" s="65"/>
    </row>
    <row r="481" ht="14.25" customHeight="1">
      <c r="B481" s="113"/>
      <c r="D481" s="183"/>
      <c r="E481" s="70" t="s">
        <v>1112</v>
      </c>
      <c r="L481" s="61"/>
      <c r="M481" s="62"/>
      <c r="N481" s="64"/>
      <c r="O481" s="68"/>
      <c r="P481" s="64"/>
      <c r="Q481" s="68"/>
      <c r="R481" s="64"/>
      <c r="S481" s="68"/>
      <c r="T481" s="64"/>
      <c r="U481" s="68"/>
      <c r="V481" s="64"/>
      <c r="W481" s="68"/>
      <c r="X481" s="117"/>
      <c r="Y481" s="173"/>
      <c r="Z481" s="65"/>
    </row>
    <row r="482" ht="14.25" customHeight="1">
      <c r="B482" s="113"/>
      <c r="D482" s="183"/>
      <c r="E482" s="70" t="s">
        <v>1113</v>
      </c>
      <c r="L482" s="61"/>
      <c r="M482" s="62"/>
      <c r="N482" s="64"/>
      <c r="O482" s="68"/>
      <c r="P482" s="64"/>
      <c r="Q482" s="68"/>
      <c r="R482" s="64"/>
      <c r="S482" s="68"/>
      <c r="T482" s="64"/>
      <c r="U482" s="68"/>
      <c r="V482" s="64"/>
      <c r="W482" s="68"/>
      <c r="X482" s="117"/>
      <c r="Y482" s="173"/>
      <c r="Z482" s="65"/>
    </row>
    <row r="483" ht="14.25" customHeight="1">
      <c r="B483" s="113"/>
      <c r="D483" s="183"/>
      <c r="E483" s="70"/>
      <c r="L483" s="61"/>
      <c r="M483" s="62"/>
      <c r="N483" s="64"/>
      <c r="O483" s="68"/>
      <c r="P483" s="64"/>
      <c r="Q483" s="68"/>
      <c r="R483" s="64"/>
      <c r="S483" s="68"/>
      <c r="T483" s="64"/>
      <c r="U483" s="68"/>
      <c r="V483" s="64"/>
      <c r="W483" s="68"/>
      <c r="X483" s="117"/>
      <c r="Y483" s="173"/>
      <c r="Z483" s="65"/>
    </row>
    <row r="484" ht="14.25" customHeight="1">
      <c r="B484" s="113"/>
      <c r="D484" s="588" t="s">
        <v>1122</v>
      </c>
      <c r="E484" s="589"/>
      <c r="L484" s="61"/>
      <c r="M484" s="62"/>
      <c r="N484" s="64"/>
      <c r="O484" s="68"/>
      <c r="P484" s="64"/>
      <c r="Q484" s="68"/>
      <c r="R484" s="64"/>
      <c r="S484" s="68"/>
      <c r="T484" s="64"/>
      <c r="U484" s="68"/>
      <c r="V484" s="64"/>
      <c r="W484" s="68"/>
      <c r="X484" s="117"/>
      <c r="Y484" s="173"/>
      <c r="Z484" s="65"/>
    </row>
    <row r="485" ht="14.25" customHeight="1">
      <c r="B485" s="113"/>
      <c r="D485" s="200" t="s">
        <v>1043</v>
      </c>
      <c r="E485" s="70" t="s">
        <v>1123</v>
      </c>
      <c r="L485" s="61"/>
      <c r="M485" s="62"/>
      <c r="N485" s="64"/>
      <c r="O485" s="68"/>
      <c r="P485" s="64"/>
      <c r="Q485" s="68"/>
      <c r="R485" s="64"/>
      <c r="S485" s="68"/>
      <c r="T485" s="64"/>
      <c r="U485" s="68"/>
      <c r="V485" s="64"/>
      <c r="W485" s="68"/>
      <c r="X485" s="117"/>
      <c r="Y485" s="173"/>
      <c r="Z485" s="65"/>
    </row>
    <row r="486" ht="14.25" customHeight="1">
      <c r="B486" s="113"/>
      <c r="D486" s="97"/>
      <c r="E486" s="70"/>
      <c r="L486" s="61"/>
      <c r="M486" s="62"/>
      <c r="N486" s="64"/>
      <c r="O486" s="68"/>
      <c r="P486" s="64"/>
      <c r="Q486" s="68"/>
      <c r="R486" s="64"/>
      <c r="S486" s="68"/>
      <c r="T486" s="64"/>
      <c r="U486" s="68"/>
      <c r="V486" s="64"/>
      <c r="W486" s="68"/>
      <c r="X486" s="117"/>
      <c r="Y486" s="173"/>
      <c r="Z486" s="65"/>
    </row>
    <row r="487" ht="14.25" customHeight="1">
      <c r="B487" s="113"/>
      <c r="D487" s="126"/>
      <c r="E487" s="70" t="s">
        <v>1111</v>
      </c>
      <c r="L487" s="61"/>
      <c r="M487" s="62"/>
      <c r="N487" s="64"/>
      <c r="O487" s="68"/>
      <c r="P487" s="64"/>
      <c r="Q487" s="68"/>
      <c r="R487" s="64">
        <f>SUM(N487:Q487)</f>
        <v>0</v>
      </c>
      <c r="S487" s="68"/>
      <c r="T487" s="64"/>
      <c r="U487" s="68"/>
      <c r="V487" s="64"/>
      <c r="W487" s="68">
        <f>SUM(S487:V487)</f>
        <v>0</v>
      </c>
      <c r="X487" s="117"/>
      <c r="Y487" s="173"/>
      <c r="Z487" s="65"/>
    </row>
    <row r="488" ht="14.25" customHeight="1">
      <c r="B488" s="113"/>
      <c r="D488" s="126"/>
      <c r="E488" s="70" t="s">
        <v>1112</v>
      </c>
      <c r="L488" s="61"/>
      <c r="M488" s="62"/>
      <c r="N488" s="64"/>
      <c r="O488" s="68"/>
      <c r="P488" s="64"/>
      <c r="Q488" s="68"/>
      <c r="R488" s="64"/>
      <c r="S488" s="68"/>
      <c r="T488" s="64"/>
      <c r="U488" s="68"/>
      <c r="V488" s="64"/>
      <c r="W488" s="68"/>
      <c r="X488" s="117"/>
      <c r="Y488" s="173"/>
      <c r="Z488" s="65"/>
    </row>
    <row r="489" ht="14.25" customHeight="1">
      <c r="B489" s="113"/>
      <c r="D489" s="194"/>
      <c r="E489" s="70" t="s">
        <v>1113</v>
      </c>
      <c r="L489" s="61"/>
      <c r="M489" s="62"/>
      <c r="N489" s="64"/>
      <c r="O489" s="68"/>
      <c r="P489" s="64"/>
      <c r="Q489" s="68"/>
      <c r="R489" s="64"/>
      <c r="S489" s="68"/>
      <c r="T489" s="64"/>
      <c r="U489" s="68"/>
      <c r="V489" s="64"/>
      <c r="W489" s="68"/>
      <c r="X489" s="117"/>
      <c r="Y489" s="173"/>
      <c r="Z489" s="65"/>
    </row>
    <row r="490" ht="14.25" customHeight="1">
      <c r="B490" s="113"/>
      <c r="D490" s="194"/>
      <c r="E490" s="70"/>
      <c r="L490" s="61"/>
      <c r="M490" s="62"/>
      <c r="N490" s="64"/>
      <c r="O490" s="68"/>
      <c r="P490" s="64"/>
      <c r="Q490" s="68"/>
      <c r="R490" s="64"/>
      <c r="S490" s="68"/>
      <c r="T490" s="64"/>
      <c r="U490" s="68"/>
      <c r="V490" s="64"/>
      <c r="W490" s="68"/>
      <c r="X490" s="117"/>
      <c r="Y490" s="173"/>
      <c r="Z490" s="65"/>
    </row>
    <row r="491" ht="14.25" customHeight="1">
      <c r="B491" s="113"/>
      <c r="D491" s="185" t="s">
        <v>1046</v>
      </c>
      <c r="E491" s="70" t="s">
        <v>1124</v>
      </c>
      <c r="L491" s="61"/>
      <c r="M491" s="62"/>
      <c r="N491" s="64"/>
      <c r="O491" s="68"/>
      <c r="P491" s="64"/>
      <c r="Q491" s="68"/>
      <c r="R491" s="64"/>
      <c r="S491" s="68"/>
      <c r="T491" s="64"/>
      <c r="U491" s="68"/>
      <c r="V491" s="64"/>
      <c r="W491" s="68"/>
      <c r="X491" s="117"/>
      <c r="Y491" s="173"/>
      <c r="Z491" s="65"/>
    </row>
    <row r="492" ht="14.25" customHeight="1">
      <c r="B492" s="113"/>
      <c r="D492" s="126"/>
      <c r="E492" s="70" t="s">
        <v>1111</v>
      </c>
      <c r="L492" s="61"/>
      <c r="M492" s="62"/>
      <c r="N492" s="64"/>
      <c r="O492" s="68"/>
      <c r="P492" s="64"/>
      <c r="Q492" s="68"/>
      <c r="R492" s="64"/>
      <c r="S492" s="68"/>
      <c r="T492" s="64"/>
      <c r="U492" s="145"/>
      <c r="V492" s="64"/>
      <c r="W492" s="68"/>
      <c r="X492" s="117"/>
      <c r="Y492" s="173"/>
      <c r="Z492" s="65"/>
    </row>
    <row r="493" ht="14.25" customHeight="1">
      <c r="B493" s="113"/>
      <c r="D493" s="126"/>
      <c r="E493" s="70" t="s">
        <v>1112</v>
      </c>
      <c r="L493" s="61"/>
      <c r="M493" s="62"/>
      <c r="N493" s="64"/>
      <c r="O493" s="68"/>
      <c r="P493" s="64"/>
      <c r="Q493" s="68"/>
      <c r="R493" s="64"/>
      <c r="S493" s="68"/>
      <c r="T493" s="64"/>
      <c r="U493" s="68"/>
      <c r="V493" s="64"/>
      <c r="W493" s="68"/>
      <c r="X493" s="117"/>
      <c r="Y493" s="173"/>
      <c r="Z493" s="65"/>
    </row>
    <row r="494" ht="14.25" customHeight="1">
      <c r="B494" s="113"/>
      <c r="D494" s="194"/>
      <c r="E494" s="70" t="s">
        <v>1113</v>
      </c>
      <c r="L494" s="61"/>
      <c r="M494" s="62"/>
      <c r="N494" s="64"/>
      <c r="O494" s="68"/>
      <c r="P494" s="64"/>
      <c r="Q494" s="68"/>
      <c r="R494" s="64"/>
      <c r="S494" s="68"/>
      <c r="T494" s="64"/>
      <c r="U494" s="68"/>
      <c r="V494" s="64"/>
      <c r="W494" s="68"/>
      <c r="X494" s="117"/>
      <c r="Y494" s="173"/>
      <c r="Z494" s="65"/>
    </row>
    <row r="495" ht="14.25" customHeight="1">
      <c r="B495" s="113"/>
      <c r="D495" s="194"/>
      <c r="E495" s="70"/>
      <c r="L495" s="61"/>
      <c r="M495" s="62"/>
      <c r="N495" s="64"/>
      <c r="O495" s="68"/>
      <c r="P495" s="64"/>
      <c r="Q495" s="68"/>
      <c r="R495" s="64"/>
      <c r="S495" s="68"/>
      <c r="T495" s="64"/>
      <c r="U495" s="68"/>
      <c r="V495" s="64"/>
      <c r="W495" s="68"/>
      <c r="X495" s="117"/>
      <c r="Y495" s="173"/>
      <c r="Z495" s="65"/>
    </row>
    <row r="496" ht="14.25" customHeight="1">
      <c r="B496" s="113"/>
      <c r="D496" s="185" t="s">
        <v>1049</v>
      </c>
      <c r="E496" s="91" t="s">
        <v>1125</v>
      </c>
      <c r="L496" s="61"/>
      <c r="M496" s="62"/>
      <c r="N496" s="64"/>
      <c r="O496" s="68"/>
      <c r="P496" s="64"/>
      <c r="Q496" s="68"/>
      <c r="R496" s="64"/>
      <c r="S496" s="68"/>
      <c r="T496" s="64"/>
      <c r="U496" s="68"/>
      <c r="V496" s="64"/>
      <c r="W496" s="68"/>
      <c r="X496" s="117"/>
      <c r="Y496" s="173"/>
      <c r="Z496" s="65"/>
    </row>
    <row r="497" ht="14.25" customHeight="1">
      <c r="B497" s="113"/>
      <c r="D497" s="126"/>
      <c r="E497" s="70" t="s">
        <v>1111</v>
      </c>
      <c r="L497" s="61"/>
      <c r="M497" s="62"/>
      <c r="N497" s="64"/>
      <c r="O497" s="68"/>
      <c r="P497" s="64"/>
      <c r="Q497" s="68"/>
      <c r="R497" s="64"/>
      <c r="S497" s="68"/>
      <c r="T497" s="64"/>
      <c r="U497" s="68"/>
      <c r="V497" s="64"/>
      <c r="W497" s="68"/>
      <c r="X497" s="117"/>
      <c r="Y497" s="173"/>
      <c r="Z497" s="65"/>
    </row>
    <row r="498" ht="14.25" customHeight="1">
      <c r="B498" s="113"/>
      <c r="D498" s="126"/>
      <c r="E498" s="70" t="s">
        <v>1112</v>
      </c>
      <c r="L498" s="61"/>
      <c r="M498" s="62"/>
      <c r="N498" s="64"/>
      <c r="O498" s="68"/>
      <c r="P498" s="64"/>
      <c r="Q498" s="68"/>
      <c r="R498" s="64"/>
      <c r="S498" s="68"/>
      <c r="T498" s="64"/>
      <c r="U498" s="68"/>
      <c r="V498" s="64"/>
      <c r="W498" s="68"/>
      <c r="X498" s="117"/>
      <c r="Y498" s="173"/>
      <c r="Z498" s="65"/>
    </row>
    <row r="499" ht="14.25" customHeight="1">
      <c r="B499" s="113"/>
      <c r="D499" s="194"/>
      <c r="E499" s="70" t="s">
        <v>1113</v>
      </c>
      <c r="L499" s="61"/>
      <c r="M499" s="62"/>
      <c r="N499" s="64"/>
      <c r="O499" s="68"/>
      <c r="P499" s="64"/>
      <c r="Q499" s="68"/>
      <c r="R499" s="64"/>
      <c r="S499" s="68"/>
      <c r="T499" s="64"/>
      <c r="U499" s="68"/>
      <c r="V499" s="64"/>
      <c r="W499" s="68"/>
      <c r="X499" s="117"/>
      <c r="Y499" s="173"/>
      <c r="Z499" s="65"/>
    </row>
    <row r="500" ht="14.25" customHeight="1">
      <c r="B500" s="113"/>
      <c r="D500" s="70"/>
      <c r="E500" s="70"/>
      <c r="L500" s="61"/>
      <c r="M500" s="62"/>
      <c r="N500" s="64"/>
      <c r="O500" s="68"/>
      <c r="P500" s="64"/>
      <c r="Q500" s="68"/>
      <c r="R500" s="64"/>
      <c r="S500" s="68"/>
      <c r="T500" s="64"/>
      <c r="U500" s="68"/>
      <c r="V500" s="64"/>
      <c r="W500" s="68"/>
      <c r="X500" s="117"/>
      <c r="Y500" s="173"/>
      <c r="Z500" s="65"/>
    </row>
    <row r="501" ht="14.25" customHeight="1">
      <c r="B501" s="113"/>
      <c r="L501" s="61"/>
      <c r="M501" s="62"/>
      <c r="N501" s="64"/>
      <c r="O501" s="68"/>
      <c r="P501" s="64"/>
      <c r="Q501" s="68"/>
      <c r="R501" s="64"/>
      <c r="S501" s="68"/>
      <c r="T501" s="64"/>
      <c r="U501" s="68"/>
      <c r="V501" s="64"/>
      <c r="W501" s="68"/>
      <c r="X501" s="117"/>
      <c r="Y501" s="173"/>
      <c r="Z501" s="65"/>
    </row>
    <row r="502" ht="14.25" customHeight="1">
      <c r="B502" s="60" t="s">
        <v>1126</v>
      </c>
      <c r="L502" s="61"/>
      <c r="M502" s="62"/>
      <c r="N502" s="64"/>
      <c r="O502" s="68"/>
      <c r="P502" s="64"/>
      <c r="Q502" s="68"/>
      <c r="R502" s="64"/>
      <c r="S502" s="68"/>
      <c r="T502" s="64"/>
      <c r="U502" s="68"/>
      <c r="V502" s="64"/>
      <c r="W502" s="68"/>
      <c r="X502" s="117"/>
      <c r="Y502" s="173"/>
      <c r="Z502" s="65"/>
    </row>
    <row r="503" ht="14.25" customHeight="1">
      <c r="B503" s="113"/>
      <c r="L503" s="61"/>
      <c r="M503" s="62"/>
      <c r="N503" s="64"/>
      <c r="O503" s="68"/>
      <c r="P503" s="64"/>
      <c r="Q503" s="68"/>
      <c r="R503" s="64"/>
      <c r="S503" s="68"/>
      <c r="T503" s="64"/>
      <c r="U503" s="68"/>
      <c r="V503" s="64"/>
      <c r="W503" s="68"/>
      <c r="X503" s="117"/>
      <c r="Y503" s="173"/>
      <c r="Z503" s="65"/>
    </row>
    <row r="504" ht="14.25" customHeight="1">
      <c r="B504" s="113"/>
      <c r="D504" s="591" t="s">
        <v>1127</v>
      </c>
      <c r="E504" s="592" t="s">
        <v>1128</v>
      </c>
      <c r="F504" s="593"/>
      <c r="G504" s="593"/>
      <c r="L504" s="61"/>
      <c r="M504" s="62"/>
      <c r="N504" s="64"/>
      <c r="O504" s="68"/>
      <c r="P504" s="64"/>
      <c r="Q504" s="68"/>
      <c r="R504" s="64"/>
      <c r="S504" s="68"/>
      <c r="T504" s="64"/>
      <c r="U504" s="68"/>
      <c r="V504" s="64"/>
      <c r="W504" s="68"/>
      <c r="X504" s="117"/>
      <c r="Y504" s="173"/>
      <c r="Z504" s="65"/>
    </row>
    <row r="505" ht="14.25" customHeight="1">
      <c r="B505" s="113"/>
      <c r="D505" s="592"/>
      <c r="E505" s="591" t="s">
        <v>1129</v>
      </c>
      <c r="F505" s="593" t="s">
        <v>1130</v>
      </c>
      <c r="G505" s="593"/>
      <c r="L505" s="61"/>
      <c r="M505" s="62"/>
      <c r="N505" s="64">
        <v>1.0</v>
      </c>
      <c r="O505" s="68">
        <v>2.0</v>
      </c>
      <c r="P505" s="64">
        <v>3.0</v>
      </c>
      <c r="Q505" s="68">
        <v>2.0</v>
      </c>
      <c r="R505" s="64">
        <f>SUM(N505:Q505)</f>
        <v>8</v>
      </c>
      <c r="S505" s="68">
        <v>2.0</v>
      </c>
      <c r="T505" s="64">
        <v>3.0</v>
      </c>
      <c r="U505" s="68"/>
      <c r="V505" s="64"/>
      <c r="W505" s="68">
        <f>SUM(S505:V505)</f>
        <v>5</v>
      </c>
      <c r="X505" s="117"/>
      <c r="Y505" s="173"/>
      <c r="Z505" s="65"/>
    </row>
    <row r="506" ht="14.25" customHeight="1">
      <c r="B506" s="113"/>
      <c r="D506" s="592"/>
      <c r="E506" s="591" t="s">
        <v>1131</v>
      </c>
      <c r="F506" s="593" t="s">
        <v>1194</v>
      </c>
      <c r="G506" s="593"/>
      <c r="L506" s="61"/>
      <c r="M506" s="62"/>
      <c r="N506" s="64">
        <v>1.0</v>
      </c>
      <c r="O506" s="68">
        <v>2.0</v>
      </c>
      <c r="P506" s="64">
        <v>3.0</v>
      </c>
      <c r="Q506" s="68">
        <v>2.0</v>
      </c>
      <c r="R506" s="64"/>
      <c r="S506" s="68">
        <v>2.0</v>
      </c>
      <c r="T506" s="64">
        <v>3.0</v>
      </c>
      <c r="U506" s="68"/>
      <c r="V506" s="64"/>
      <c r="W506" s="68"/>
      <c r="X506" s="117"/>
      <c r="Y506" s="173"/>
      <c r="Z506" s="65"/>
    </row>
    <row r="507" ht="14.25" customHeight="1">
      <c r="B507" s="113"/>
      <c r="D507" s="591" t="s">
        <v>906</v>
      </c>
      <c r="E507" s="593" t="s">
        <v>1133</v>
      </c>
      <c r="F507" s="593"/>
      <c r="G507" s="593"/>
      <c r="L507" s="61"/>
      <c r="M507" s="62"/>
      <c r="N507" s="64"/>
      <c r="O507" s="68"/>
      <c r="P507" s="64"/>
      <c r="Q507" s="68"/>
      <c r="R507" s="64"/>
      <c r="S507" s="68"/>
      <c r="T507" s="64"/>
      <c r="U507" s="68"/>
      <c r="V507" s="64"/>
      <c r="W507" s="68"/>
      <c r="X507" s="117"/>
      <c r="Y507" s="173"/>
      <c r="Z507" s="65"/>
    </row>
    <row r="508" ht="14.25" customHeight="1">
      <c r="B508" s="113"/>
      <c r="D508" s="593"/>
      <c r="E508" s="591" t="s">
        <v>1134</v>
      </c>
      <c r="F508" s="593" t="s">
        <v>1135</v>
      </c>
      <c r="G508" s="593"/>
      <c r="L508" s="61"/>
      <c r="M508" s="62"/>
      <c r="N508" s="64">
        <v>1.0</v>
      </c>
      <c r="O508" s="68">
        <v>2.0</v>
      </c>
      <c r="P508" s="64">
        <v>4.0</v>
      </c>
      <c r="Q508" s="68">
        <v>3.0</v>
      </c>
      <c r="R508" s="64">
        <f>SUM(N508:Q508)</f>
        <v>10</v>
      </c>
      <c r="S508" s="68">
        <v>1.0</v>
      </c>
      <c r="T508" s="64">
        <v>3.0</v>
      </c>
      <c r="U508" s="68">
        <v>6.0</v>
      </c>
      <c r="V508" s="64"/>
      <c r="W508" s="68">
        <f>SUM(S508:V508)</f>
        <v>10</v>
      </c>
      <c r="X508" s="117"/>
      <c r="Y508" s="173"/>
      <c r="Z508" s="65"/>
    </row>
    <row r="509" ht="14.25" customHeight="1">
      <c r="B509" s="113"/>
      <c r="D509" s="593"/>
      <c r="E509" s="591" t="s">
        <v>1136</v>
      </c>
      <c r="F509" s="593" t="s">
        <v>1137</v>
      </c>
      <c r="G509" s="593"/>
      <c r="L509" s="61"/>
      <c r="M509" s="62"/>
      <c r="N509" s="64">
        <v>1.0</v>
      </c>
      <c r="O509" s="68">
        <v>2.0</v>
      </c>
      <c r="P509" s="64">
        <v>4.0</v>
      </c>
      <c r="Q509" s="68">
        <v>3.0</v>
      </c>
      <c r="R509" s="64"/>
      <c r="S509" s="68"/>
      <c r="T509" s="64">
        <v>3.0</v>
      </c>
      <c r="U509" s="68">
        <v>6.0</v>
      </c>
      <c r="V509" s="64"/>
      <c r="W509" s="68"/>
      <c r="X509" s="117"/>
      <c r="Y509" s="173"/>
      <c r="Z509" s="65"/>
    </row>
    <row r="510" ht="14.25" customHeight="1">
      <c r="B510" s="113"/>
      <c r="D510" s="591" t="s">
        <v>924</v>
      </c>
      <c r="E510" s="593" t="s">
        <v>1138</v>
      </c>
      <c r="F510" s="593"/>
      <c r="G510" s="593"/>
      <c r="L510" s="61"/>
      <c r="M510" s="62"/>
      <c r="N510" s="64"/>
      <c r="O510" s="68"/>
      <c r="P510" s="64"/>
      <c r="Q510" s="68"/>
      <c r="R510" s="64"/>
      <c r="S510" s="68"/>
      <c r="T510" s="64"/>
      <c r="U510" s="68"/>
      <c r="V510" s="64"/>
      <c r="W510" s="68"/>
      <c r="X510" s="117"/>
      <c r="Y510" s="173"/>
      <c r="Z510" s="65"/>
    </row>
    <row r="511" ht="14.25" customHeight="1">
      <c r="B511" s="113"/>
      <c r="D511" s="592"/>
      <c r="E511" s="595" t="s">
        <v>1139</v>
      </c>
      <c r="F511" s="593" t="s">
        <v>1140</v>
      </c>
      <c r="G511" s="593"/>
      <c r="L511" s="61"/>
      <c r="M511" s="62"/>
      <c r="N511" s="64">
        <v>1.0</v>
      </c>
      <c r="O511" s="68">
        <v>3.0</v>
      </c>
      <c r="P511" s="64">
        <v>5.0</v>
      </c>
      <c r="Q511" s="68">
        <v>1.0</v>
      </c>
      <c r="R511" s="64">
        <f>SUM(N511:Q511)</f>
        <v>10</v>
      </c>
      <c r="S511" s="68">
        <v>4.0</v>
      </c>
      <c r="T511" s="64">
        <v>6.0</v>
      </c>
      <c r="U511" s="68">
        <v>7.0</v>
      </c>
      <c r="V511" s="64"/>
      <c r="W511" s="68">
        <f>SUM(S511:V511)</f>
        <v>17</v>
      </c>
      <c r="X511" s="117"/>
      <c r="Y511" s="173"/>
      <c r="Z511" s="65"/>
    </row>
    <row r="512" ht="14.25" customHeight="1">
      <c r="B512" s="113"/>
      <c r="D512" s="592"/>
      <c r="E512" s="595" t="s">
        <v>1141</v>
      </c>
      <c r="F512" s="593" t="s">
        <v>1142</v>
      </c>
      <c r="G512" s="593"/>
      <c r="L512" s="61"/>
      <c r="M512" s="62"/>
      <c r="N512" s="64">
        <v>1.0</v>
      </c>
      <c r="O512" s="68">
        <v>3.0</v>
      </c>
      <c r="P512" s="64">
        <v>5.0</v>
      </c>
      <c r="Q512" s="68"/>
      <c r="R512" s="64"/>
      <c r="S512" s="68">
        <v>3.0</v>
      </c>
      <c r="T512" s="64">
        <v>6.0</v>
      </c>
      <c r="U512" s="68">
        <v>7.0</v>
      </c>
      <c r="V512" s="64"/>
      <c r="W512" s="68"/>
      <c r="X512" s="117"/>
      <c r="Y512" s="173"/>
      <c r="Z512" s="65"/>
    </row>
    <row r="513" ht="14.25" customHeight="1">
      <c r="B513" s="113"/>
      <c r="D513" s="591" t="s">
        <v>926</v>
      </c>
      <c r="E513" s="595" t="s">
        <v>1143</v>
      </c>
      <c r="F513" s="593"/>
      <c r="G513" s="593"/>
      <c r="L513" s="61"/>
      <c r="M513" s="62"/>
      <c r="N513" s="64"/>
      <c r="O513" s="68"/>
      <c r="P513" s="64"/>
      <c r="Q513" s="68"/>
      <c r="R513" s="64"/>
      <c r="S513" s="68"/>
      <c r="T513" s="64"/>
      <c r="U513" s="68"/>
      <c r="V513" s="64"/>
      <c r="W513" s="68"/>
      <c r="X513" s="117"/>
      <c r="Y513" s="173"/>
      <c r="Z513" s="65"/>
    </row>
    <row r="514" ht="14.25" customHeight="1">
      <c r="B514" s="113"/>
      <c r="D514" s="592"/>
      <c r="E514" s="595" t="s">
        <v>1144</v>
      </c>
      <c r="F514" s="593" t="s">
        <v>1145</v>
      </c>
      <c r="G514" s="593"/>
      <c r="L514" s="61"/>
      <c r="M514" s="62"/>
      <c r="N514" s="64">
        <v>1.0</v>
      </c>
      <c r="O514" s="68">
        <v>3.0</v>
      </c>
      <c r="P514" s="64">
        <v>3.0</v>
      </c>
      <c r="Q514" s="68">
        <v>5.0</v>
      </c>
      <c r="R514" s="64">
        <f>SUM(N514:Q514)</f>
        <v>12</v>
      </c>
      <c r="S514" s="68"/>
      <c r="T514" s="64"/>
      <c r="U514" s="68">
        <v>3.0</v>
      </c>
      <c r="V514" s="64"/>
      <c r="W514" s="68">
        <f>SUM(S514:V514)</f>
        <v>3</v>
      </c>
      <c r="X514" s="117"/>
      <c r="Y514" s="173"/>
      <c r="Z514" s="65"/>
    </row>
    <row r="515" ht="14.25" customHeight="1">
      <c r="B515" s="113"/>
      <c r="D515" s="592"/>
      <c r="E515" s="595" t="s">
        <v>1146</v>
      </c>
      <c r="F515" s="593" t="s">
        <v>1147</v>
      </c>
      <c r="G515" s="593"/>
      <c r="L515" s="61"/>
      <c r="M515" s="62"/>
      <c r="N515" s="64">
        <v>1.0</v>
      </c>
      <c r="O515" s="68">
        <v>3.0</v>
      </c>
      <c r="P515" s="64">
        <v>2.0</v>
      </c>
      <c r="Q515" s="68">
        <v>3.0</v>
      </c>
      <c r="R515" s="64"/>
      <c r="S515" s="68"/>
      <c r="T515" s="64">
        <v>1.0</v>
      </c>
      <c r="U515" s="68">
        <v>6.0</v>
      </c>
      <c r="V515" s="64"/>
      <c r="W515" s="68"/>
      <c r="X515" s="117"/>
      <c r="Y515" s="173"/>
      <c r="Z515" s="65"/>
    </row>
    <row r="516" ht="14.25" customHeight="1">
      <c r="B516" s="113"/>
      <c r="D516" s="592"/>
      <c r="E516" s="595" t="s">
        <v>1148</v>
      </c>
      <c r="F516" s="593" t="s">
        <v>1149</v>
      </c>
      <c r="G516" s="593"/>
      <c r="L516" s="61"/>
      <c r="M516" s="62"/>
      <c r="N516" s="64">
        <v>1.0</v>
      </c>
      <c r="O516" s="68">
        <v>3.0</v>
      </c>
      <c r="P516" s="64">
        <v>3.0</v>
      </c>
      <c r="Q516" s="68">
        <v>5.0</v>
      </c>
      <c r="R516" s="64"/>
      <c r="S516" s="68"/>
      <c r="T516" s="64"/>
      <c r="U516" s="68">
        <v>3.0</v>
      </c>
      <c r="V516" s="64"/>
      <c r="W516" s="68"/>
      <c r="X516" s="117"/>
      <c r="Y516" s="173"/>
      <c r="Z516" s="65"/>
    </row>
    <row r="517" ht="14.25" customHeight="1">
      <c r="B517" s="113"/>
      <c r="D517" s="592"/>
      <c r="E517" s="595" t="s">
        <v>1150</v>
      </c>
      <c r="F517" s="593" t="s">
        <v>1151</v>
      </c>
      <c r="G517" s="593"/>
      <c r="L517" s="61"/>
      <c r="M517" s="62"/>
      <c r="N517" s="64">
        <v>1.0</v>
      </c>
      <c r="O517" s="68">
        <v>3.0</v>
      </c>
      <c r="P517" s="64">
        <v>2.0</v>
      </c>
      <c r="Q517" s="68"/>
      <c r="R517" s="64">
        <f>SUM(N517:Q517)</f>
        <v>6</v>
      </c>
      <c r="S517" s="68"/>
      <c r="T517" s="64">
        <v>1.0</v>
      </c>
      <c r="U517" s="68">
        <v>6.0</v>
      </c>
      <c r="V517" s="64"/>
      <c r="W517" s="68">
        <f>SUM(S517:V517)</f>
        <v>7</v>
      </c>
      <c r="X517" s="117"/>
      <c r="Y517" s="173"/>
      <c r="Z517" s="65"/>
    </row>
    <row r="518" ht="14.25" customHeight="1">
      <c r="B518" s="113"/>
      <c r="D518" s="591" t="s">
        <v>1152</v>
      </c>
      <c r="E518" s="593" t="s">
        <v>1153</v>
      </c>
      <c r="F518" s="593"/>
      <c r="G518" s="593"/>
      <c r="L518" s="61"/>
      <c r="M518" s="62"/>
      <c r="N518" s="64"/>
      <c r="O518" s="68"/>
      <c r="P518" s="64"/>
      <c r="Q518" s="68"/>
      <c r="R518" s="64"/>
      <c r="S518" s="68"/>
      <c r="T518" s="64"/>
      <c r="U518" s="68"/>
      <c r="V518" s="64"/>
      <c r="W518" s="68"/>
      <c r="X518" s="117"/>
      <c r="Y518" s="173"/>
      <c r="Z518" s="65"/>
    </row>
    <row r="519" ht="14.25" customHeight="1">
      <c r="B519" s="113"/>
      <c r="D519" s="592"/>
      <c r="E519" s="595" t="s">
        <v>1154</v>
      </c>
      <c r="F519" s="593" t="s">
        <v>1155</v>
      </c>
      <c r="G519" s="593"/>
      <c r="L519" s="61"/>
      <c r="M519" s="62"/>
      <c r="N519" s="64">
        <v>25.0</v>
      </c>
      <c r="O519" s="68">
        <v>75.0</v>
      </c>
      <c r="P519" s="64"/>
      <c r="Q519" s="68">
        <v>50.0</v>
      </c>
      <c r="R519" s="64">
        <f>SUM(N519:Q519)</f>
        <v>150</v>
      </c>
      <c r="S519" s="68">
        <v>3.0</v>
      </c>
      <c r="T519" s="64">
        <v>67.0</v>
      </c>
      <c r="U519" s="68">
        <v>78.0</v>
      </c>
      <c r="V519" s="64"/>
      <c r="W519" s="68">
        <f>SUM(S519:V519)</f>
        <v>148</v>
      </c>
      <c r="X519" s="117"/>
      <c r="Y519" s="173"/>
      <c r="Z519" s="65"/>
    </row>
    <row r="520" ht="14.25" customHeight="1">
      <c r="B520" s="113"/>
      <c r="D520" s="592"/>
      <c r="E520" s="595" t="s">
        <v>1156</v>
      </c>
      <c r="F520" s="593" t="s">
        <v>1157</v>
      </c>
      <c r="G520" s="593"/>
      <c r="L520" s="61"/>
      <c r="M520" s="62"/>
      <c r="N520" s="64">
        <v>25.0</v>
      </c>
      <c r="O520" s="68">
        <v>75.0</v>
      </c>
      <c r="P520" s="64"/>
      <c r="Q520" s="68">
        <v>50.0</v>
      </c>
      <c r="R520" s="64"/>
      <c r="S520" s="68">
        <v>19.0</v>
      </c>
      <c r="T520" s="64">
        <v>67.0</v>
      </c>
      <c r="U520" s="68">
        <v>78.0</v>
      </c>
      <c r="V520" s="64"/>
      <c r="W520" s="68"/>
      <c r="X520" s="117"/>
      <c r="Y520" s="173"/>
      <c r="Z520" s="65"/>
    </row>
    <row r="521" ht="14.25" customHeight="1">
      <c r="B521" s="113"/>
      <c r="D521" s="591" t="s">
        <v>1158</v>
      </c>
      <c r="E521" s="593" t="s">
        <v>1159</v>
      </c>
      <c r="F521" s="593"/>
      <c r="G521" s="593"/>
      <c r="L521" s="61"/>
      <c r="M521" s="62"/>
      <c r="N521" s="64"/>
      <c r="O521" s="68"/>
      <c r="P521" s="64"/>
      <c r="Q521" s="68"/>
      <c r="R521" s="64"/>
      <c r="S521" s="68"/>
      <c r="T521" s="64"/>
      <c r="U521" s="68"/>
      <c r="V521" s="64"/>
      <c r="W521" s="68"/>
      <c r="X521" s="117"/>
      <c r="Y521" s="173"/>
      <c r="Z521" s="65"/>
    </row>
    <row r="522" ht="14.25" customHeight="1">
      <c r="B522" s="113"/>
      <c r="D522" s="592"/>
      <c r="E522" s="595" t="s">
        <v>1160</v>
      </c>
      <c r="F522" s="593" t="s">
        <v>1161</v>
      </c>
      <c r="G522" s="593"/>
      <c r="L522" s="61"/>
      <c r="M522" s="62"/>
      <c r="N522" s="64" t="s">
        <v>131</v>
      </c>
      <c r="O522" s="68" t="s">
        <v>131</v>
      </c>
      <c r="P522" s="64" t="s">
        <v>131</v>
      </c>
      <c r="Q522" s="68" t="s">
        <v>131</v>
      </c>
      <c r="R522" s="64" t="s">
        <v>131</v>
      </c>
      <c r="S522" s="68"/>
      <c r="T522" s="64"/>
      <c r="U522" s="68">
        <v>1.0</v>
      </c>
      <c r="V522" s="64"/>
      <c r="W522" s="68">
        <f t="shared" ref="W522:W523" si="25">SUM(S522:V522)</f>
        <v>1</v>
      </c>
      <c r="X522" s="117"/>
      <c r="Y522" s="173"/>
      <c r="Z522" s="65"/>
    </row>
    <row r="523" ht="14.25" customHeight="1">
      <c r="B523" s="113"/>
      <c r="D523" s="592"/>
      <c r="E523" s="595" t="s">
        <v>1162</v>
      </c>
      <c r="F523" s="593" t="s">
        <v>1163</v>
      </c>
      <c r="G523" s="593"/>
      <c r="L523" s="61"/>
      <c r="M523" s="62"/>
      <c r="N523" s="64" t="s">
        <v>131</v>
      </c>
      <c r="O523" s="68" t="s">
        <v>131</v>
      </c>
      <c r="P523" s="64" t="s">
        <v>131</v>
      </c>
      <c r="Q523" s="68" t="s">
        <v>131</v>
      </c>
      <c r="R523" s="64" t="s">
        <v>131</v>
      </c>
      <c r="S523" s="68"/>
      <c r="T523" s="64"/>
      <c r="U523" s="68">
        <v>1.0</v>
      </c>
      <c r="V523" s="64"/>
      <c r="W523" s="68">
        <f t="shared" si="25"/>
        <v>1</v>
      </c>
      <c r="X523" s="117"/>
      <c r="Y523" s="173"/>
      <c r="Z523" s="65"/>
    </row>
    <row r="524" ht="14.25" customHeight="1">
      <c r="B524" s="113"/>
      <c r="D524" s="592"/>
      <c r="E524" s="595" t="s">
        <v>1164</v>
      </c>
      <c r="F524" s="593" t="s">
        <v>1165</v>
      </c>
      <c r="G524" s="593"/>
      <c r="L524" s="61"/>
      <c r="M524" s="62"/>
      <c r="N524" s="64" t="s">
        <v>131</v>
      </c>
      <c r="O524" s="68" t="s">
        <v>131</v>
      </c>
      <c r="P524" s="64" t="s">
        <v>131</v>
      </c>
      <c r="Q524" s="68" t="s">
        <v>131</v>
      </c>
      <c r="R524" s="64" t="s">
        <v>131</v>
      </c>
      <c r="S524" s="68"/>
      <c r="T524" s="64"/>
      <c r="U524" s="68">
        <v>1.0</v>
      </c>
      <c r="V524" s="64"/>
      <c r="W524" s="68"/>
      <c r="X524" s="117"/>
      <c r="Y524" s="173"/>
      <c r="Z524" s="65"/>
    </row>
    <row r="525" ht="14.25" customHeight="1">
      <c r="B525" s="113"/>
      <c r="D525" s="592"/>
      <c r="E525" s="592">
        <v>6.3</v>
      </c>
      <c r="F525" s="593" t="s">
        <v>1166</v>
      </c>
      <c r="G525" s="593"/>
      <c r="L525" s="61"/>
      <c r="M525" s="62"/>
      <c r="N525" s="64" t="s">
        <v>131</v>
      </c>
      <c r="O525" s="68" t="s">
        <v>131</v>
      </c>
      <c r="P525" s="64" t="s">
        <v>131</v>
      </c>
      <c r="Q525" s="68" t="s">
        <v>131</v>
      </c>
      <c r="R525" s="64" t="s">
        <v>131</v>
      </c>
      <c r="S525" s="68"/>
      <c r="T525" s="64"/>
      <c r="U525" s="68"/>
      <c r="V525" s="64"/>
      <c r="W525" s="68"/>
      <c r="X525" s="117"/>
      <c r="Y525" s="173"/>
      <c r="Z525" s="65"/>
    </row>
    <row r="526" ht="14.25" customHeight="1">
      <c r="B526" s="113"/>
      <c r="D526" s="592"/>
      <c r="E526" s="592"/>
      <c r="F526" s="593"/>
      <c r="G526" s="593"/>
      <c r="L526" s="61"/>
      <c r="M526" s="62"/>
      <c r="N526" s="64"/>
      <c r="O526" s="68"/>
      <c r="P526" s="64"/>
      <c r="Q526" s="68"/>
      <c r="R526" s="64"/>
      <c r="S526" s="68"/>
      <c r="T526" s="64"/>
      <c r="U526" s="68"/>
      <c r="V526" s="64"/>
      <c r="W526" s="68"/>
      <c r="X526" s="117"/>
      <c r="Y526" s="173"/>
      <c r="Z526" s="65"/>
    </row>
    <row r="527" ht="14.25" customHeight="1">
      <c r="B527" s="113"/>
      <c r="D527" s="591" t="s">
        <v>1167</v>
      </c>
      <c r="E527" s="593" t="s">
        <v>1168</v>
      </c>
      <c r="F527" s="593"/>
      <c r="G527" s="593"/>
      <c r="L527" s="61"/>
      <c r="M527" s="62"/>
      <c r="N527" s="64"/>
      <c r="O527" s="68"/>
      <c r="P527" s="64"/>
      <c r="Q527" s="68"/>
      <c r="R527" s="64"/>
      <c r="S527" s="68"/>
      <c r="T527" s="64"/>
      <c r="U527" s="68"/>
      <c r="V527" s="64"/>
      <c r="W527" s="68"/>
      <c r="X527" s="117"/>
      <c r="Y527" s="173"/>
      <c r="Z527" s="65"/>
    </row>
    <row r="528" ht="14.25" customHeight="1">
      <c r="B528" s="113"/>
      <c r="D528" s="592"/>
      <c r="E528" s="595" t="s">
        <v>1169</v>
      </c>
      <c r="F528" s="593" t="s">
        <v>1170</v>
      </c>
      <c r="G528" s="593"/>
      <c r="L528" s="61"/>
      <c r="M528" s="62"/>
      <c r="N528" s="64" t="s">
        <v>131</v>
      </c>
      <c r="O528" s="68" t="s">
        <v>131</v>
      </c>
      <c r="P528" s="64" t="s">
        <v>131</v>
      </c>
      <c r="Q528" s="68" t="s">
        <v>131</v>
      </c>
      <c r="R528" s="64" t="s">
        <v>131</v>
      </c>
      <c r="S528" s="68"/>
      <c r="T528" s="64"/>
      <c r="U528" s="68"/>
      <c r="V528" s="64"/>
      <c r="W528" s="68">
        <f>SUM(S528:V528)</f>
        <v>0</v>
      </c>
      <c r="X528" s="117"/>
      <c r="Y528" s="173"/>
      <c r="Z528" s="65"/>
    </row>
    <row r="529" ht="15.75" customHeight="1">
      <c r="B529" s="113"/>
      <c r="D529" s="592"/>
      <c r="E529" s="596" t="s">
        <v>1171</v>
      </c>
      <c r="F529" s="593" t="s">
        <v>1172</v>
      </c>
      <c r="G529" s="593"/>
      <c r="L529" s="61"/>
      <c r="M529" s="62"/>
      <c r="N529" s="64" t="s">
        <v>131</v>
      </c>
      <c r="O529" s="68" t="s">
        <v>131</v>
      </c>
      <c r="P529" s="64" t="s">
        <v>131</v>
      </c>
      <c r="Q529" s="68" t="s">
        <v>131</v>
      </c>
      <c r="R529" s="64" t="s">
        <v>131</v>
      </c>
      <c r="S529" s="68"/>
      <c r="T529" s="64"/>
      <c r="U529" s="68"/>
      <c r="V529" s="64"/>
      <c r="W529" s="68"/>
      <c r="X529" s="117"/>
      <c r="Y529" s="173"/>
      <c r="Z529" s="65"/>
    </row>
    <row r="530" ht="14.25" customHeight="1">
      <c r="B530" s="113"/>
      <c r="D530" s="592"/>
      <c r="E530" s="596" t="s">
        <v>1173</v>
      </c>
      <c r="F530" s="597" t="s">
        <v>1174</v>
      </c>
      <c r="G530" s="593"/>
      <c r="L530" s="61"/>
      <c r="M530" s="62"/>
      <c r="N530" s="64" t="s">
        <v>131</v>
      </c>
      <c r="O530" s="68" t="s">
        <v>131</v>
      </c>
      <c r="P530" s="64" t="s">
        <v>131</v>
      </c>
      <c r="Q530" s="68" t="s">
        <v>131</v>
      </c>
      <c r="R530" s="64" t="s">
        <v>131</v>
      </c>
      <c r="S530" s="68"/>
      <c r="T530" s="64"/>
      <c r="U530" s="68"/>
      <c r="V530" s="64"/>
      <c r="W530" s="68"/>
      <c r="X530" s="117"/>
      <c r="Y530" s="173"/>
      <c r="Z530" s="65"/>
    </row>
    <row r="531" ht="14.25" customHeight="1">
      <c r="B531" s="113"/>
      <c r="D531" s="592"/>
      <c r="E531" s="592"/>
      <c r="F531" s="593"/>
      <c r="G531" s="593"/>
      <c r="L531" s="61"/>
      <c r="M531" s="62"/>
      <c r="N531" s="64"/>
      <c r="O531" s="68"/>
      <c r="P531" s="64"/>
      <c r="Q531" s="68"/>
      <c r="R531" s="64"/>
      <c r="S531" s="68"/>
      <c r="T531" s="64"/>
      <c r="U531" s="68"/>
      <c r="V531" s="64"/>
      <c r="W531" s="68"/>
      <c r="X531" s="117"/>
      <c r="Y531" s="173"/>
      <c r="Z531" s="65"/>
    </row>
    <row r="532" ht="14.25" customHeight="1">
      <c r="B532" s="113"/>
      <c r="D532" s="592"/>
      <c r="E532" s="597"/>
      <c r="F532" s="597"/>
      <c r="G532" s="593"/>
      <c r="L532" s="61"/>
      <c r="M532" s="62"/>
      <c r="N532" s="64"/>
      <c r="O532" s="68"/>
      <c r="P532" s="64"/>
      <c r="Q532" s="68"/>
      <c r="R532" s="64"/>
      <c r="S532" s="68"/>
      <c r="T532" s="64"/>
      <c r="U532" s="68"/>
      <c r="V532" s="64"/>
      <c r="W532" s="68"/>
      <c r="X532" s="117"/>
      <c r="Y532" s="173"/>
      <c r="Z532" s="65"/>
    </row>
    <row r="533" ht="14.25" customHeight="1">
      <c r="B533" s="113"/>
      <c r="D533" s="591" t="s">
        <v>1175</v>
      </c>
      <c r="E533" s="595" t="s">
        <v>1176</v>
      </c>
      <c r="F533" s="593"/>
      <c r="G533" s="593"/>
      <c r="L533" s="61"/>
      <c r="M533" s="62"/>
      <c r="N533" s="64" t="s">
        <v>131</v>
      </c>
      <c r="O533" s="68" t="s">
        <v>131</v>
      </c>
      <c r="P533" s="64" t="s">
        <v>131</v>
      </c>
      <c r="Q533" s="68" t="s">
        <v>131</v>
      </c>
      <c r="R533" s="64" t="s">
        <v>131</v>
      </c>
      <c r="S533" s="68"/>
      <c r="T533" s="64"/>
      <c r="U533" s="68"/>
      <c r="V533" s="64"/>
      <c r="W533" s="68"/>
      <c r="X533" s="117"/>
      <c r="Y533" s="173"/>
      <c r="Z533" s="65"/>
    </row>
    <row r="534" ht="14.25" customHeight="1">
      <c r="B534" s="113"/>
      <c r="D534" s="592"/>
      <c r="E534" s="592">
        <v>8.1</v>
      </c>
      <c r="F534" s="593" t="s">
        <v>1177</v>
      </c>
      <c r="G534" s="593"/>
      <c r="L534" s="61"/>
      <c r="M534" s="62"/>
      <c r="N534" s="64" t="s">
        <v>131</v>
      </c>
      <c r="O534" s="68" t="s">
        <v>131</v>
      </c>
      <c r="P534" s="64" t="s">
        <v>131</v>
      </c>
      <c r="Q534" s="68" t="s">
        <v>131</v>
      </c>
      <c r="R534" s="64" t="s">
        <v>131</v>
      </c>
      <c r="S534" s="68"/>
      <c r="T534" s="64"/>
      <c r="U534" s="68"/>
      <c r="V534" s="64"/>
      <c r="W534" s="68"/>
      <c r="X534" s="117"/>
      <c r="Y534" s="173"/>
      <c r="Z534" s="65"/>
    </row>
    <row r="535" ht="14.25" customHeight="1">
      <c r="B535" s="113"/>
      <c r="D535" s="592"/>
      <c r="E535" s="592">
        <v>8.2</v>
      </c>
      <c r="F535" s="593" t="s">
        <v>1178</v>
      </c>
      <c r="G535" s="593"/>
      <c r="L535" s="61"/>
      <c r="M535" s="62"/>
      <c r="N535" s="64" t="s">
        <v>131</v>
      </c>
      <c r="O535" s="68" t="s">
        <v>131</v>
      </c>
      <c r="P535" s="64" t="s">
        <v>131</v>
      </c>
      <c r="Q535" s="68" t="s">
        <v>131</v>
      </c>
      <c r="R535" s="64" t="s">
        <v>131</v>
      </c>
      <c r="S535" s="68"/>
      <c r="T535" s="64"/>
      <c r="U535" s="68"/>
      <c r="V535" s="64"/>
      <c r="W535" s="68"/>
      <c r="X535" s="117"/>
      <c r="Y535" s="173"/>
      <c r="Z535" s="65"/>
    </row>
    <row r="536" ht="14.25" customHeight="1">
      <c r="B536" s="113"/>
      <c r="D536" s="592"/>
      <c r="E536" s="592">
        <v>8.3</v>
      </c>
      <c r="F536" s="595" t="s">
        <v>1179</v>
      </c>
      <c r="G536" s="593"/>
      <c r="L536" s="61"/>
      <c r="M536" s="62"/>
      <c r="N536" s="64" t="s">
        <v>131</v>
      </c>
      <c r="O536" s="68" t="s">
        <v>131</v>
      </c>
      <c r="P536" s="64" t="s">
        <v>131</v>
      </c>
      <c r="Q536" s="68" t="s">
        <v>131</v>
      </c>
      <c r="R536" s="64" t="s">
        <v>131</v>
      </c>
      <c r="S536" s="68"/>
      <c r="T536" s="64"/>
      <c r="U536" s="68"/>
      <c r="V536" s="64"/>
      <c r="W536" s="68"/>
      <c r="X536" s="117"/>
      <c r="Y536" s="173"/>
      <c r="Z536" s="65"/>
    </row>
    <row r="537" ht="15.75" customHeight="1">
      <c r="B537" s="243"/>
      <c r="C537" s="244"/>
      <c r="D537" s="245"/>
      <c r="E537" s="246">
        <v>8.4</v>
      </c>
      <c r="F537" s="598" t="s">
        <v>1180</v>
      </c>
      <c r="G537" s="247"/>
      <c r="H537" s="244"/>
      <c r="I537" s="244"/>
      <c r="J537" s="244"/>
      <c r="K537" s="244"/>
      <c r="L537" s="248"/>
      <c r="M537" s="249"/>
      <c r="N537" s="250" t="s">
        <v>131</v>
      </c>
      <c r="O537" s="251" t="s">
        <v>131</v>
      </c>
      <c r="P537" s="250" t="s">
        <v>131</v>
      </c>
      <c r="Q537" s="251" t="s">
        <v>131</v>
      </c>
      <c r="R537" s="250" t="s">
        <v>131</v>
      </c>
      <c r="S537" s="251"/>
      <c r="T537" s="250"/>
      <c r="U537" s="251"/>
      <c r="V537" s="250"/>
      <c r="W537" s="251"/>
      <c r="X537" s="599"/>
      <c r="Y537" s="600"/>
      <c r="Z537" s="253"/>
    </row>
    <row r="538" ht="14.25" customHeight="1">
      <c r="N538" s="206"/>
      <c r="O538" s="206"/>
      <c r="P538" s="206"/>
      <c r="Q538" s="206"/>
      <c r="R538" s="206"/>
      <c r="S538" s="206"/>
      <c r="T538" s="206"/>
      <c r="U538" s="206"/>
      <c r="V538" s="206"/>
      <c r="W538" s="206"/>
      <c r="X538" s="206"/>
      <c r="Y538" s="206"/>
    </row>
    <row r="539" ht="14.25" customHeight="1">
      <c r="S539" s="206"/>
      <c r="T539" s="206"/>
      <c r="U539" s="206"/>
      <c r="V539" s="206"/>
      <c r="W539" s="206"/>
      <c r="X539" s="206"/>
      <c r="Y539" s="206"/>
    </row>
    <row r="540" ht="14.25" customHeight="1">
      <c r="S540" s="206"/>
      <c r="T540" s="206"/>
      <c r="U540" s="206"/>
      <c r="V540" s="206"/>
      <c r="W540" s="206"/>
      <c r="X540" s="206"/>
      <c r="Y540" s="206"/>
    </row>
    <row r="541" ht="14.25" customHeight="1">
      <c r="S541" s="206"/>
      <c r="T541" s="206"/>
      <c r="U541" s="206"/>
      <c r="V541" s="206"/>
      <c r="W541" s="206"/>
      <c r="X541" s="206"/>
      <c r="Y541" s="206"/>
    </row>
    <row r="542" ht="14.25" customHeight="1">
      <c r="S542" s="206"/>
      <c r="T542" s="206"/>
      <c r="U542" s="206"/>
      <c r="V542" s="206"/>
      <c r="W542" s="206"/>
      <c r="X542" s="206"/>
      <c r="Y542" s="206"/>
    </row>
    <row r="543" ht="14.25" customHeight="1">
      <c r="S543" s="206"/>
      <c r="T543" s="206"/>
      <c r="U543" s="206"/>
      <c r="V543" s="206"/>
      <c r="W543" s="206"/>
      <c r="X543" s="206"/>
      <c r="Y543" s="206"/>
    </row>
    <row r="544" ht="14.25" customHeight="1">
      <c r="S544" s="206"/>
      <c r="T544" s="206"/>
      <c r="U544" s="206"/>
      <c r="V544" s="206"/>
      <c r="W544" s="206"/>
      <c r="X544" s="206"/>
      <c r="Y544" s="206"/>
    </row>
    <row r="545" ht="14.25" customHeight="1">
      <c r="S545" s="206"/>
      <c r="T545" s="206"/>
      <c r="U545" s="206"/>
      <c r="V545" s="206"/>
      <c r="W545" s="206"/>
      <c r="X545" s="206"/>
      <c r="Y545" s="206"/>
    </row>
    <row r="546" ht="14.25" customHeight="1">
      <c r="S546" s="206"/>
      <c r="T546" s="206"/>
      <c r="U546" s="206"/>
      <c r="V546" s="206"/>
      <c r="W546" s="206"/>
      <c r="X546" s="206"/>
      <c r="Y546" s="206"/>
    </row>
    <row r="547" ht="14.25" customHeight="1">
      <c r="S547" s="206"/>
      <c r="T547" s="206"/>
      <c r="U547" s="206"/>
      <c r="V547" s="206"/>
      <c r="W547" s="206"/>
      <c r="X547" s="206"/>
      <c r="Y547" s="206"/>
    </row>
    <row r="548" ht="14.25" customHeight="1">
      <c r="S548" s="206"/>
      <c r="T548" s="206"/>
      <c r="U548" s="206"/>
      <c r="V548" s="206"/>
      <c r="W548" s="206"/>
      <c r="X548" s="206"/>
      <c r="Y548" s="206"/>
    </row>
    <row r="549" ht="14.25" customHeight="1">
      <c r="S549" s="206"/>
      <c r="T549" s="206"/>
      <c r="U549" s="206"/>
      <c r="V549" s="206"/>
      <c r="W549" s="206"/>
      <c r="X549" s="206"/>
      <c r="Y549" s="206"/>
    </row>
    <row r="550" ht="14.25" customHeight="1">
      <c r="S550" s="206"/>
      <c r="T550" s="206"/>
      <c r="U550" s="206"/>
      <c r="V550" s="206"/>
      <c r="W550" s="206"/>
      <c r="X550" s="206"/>
      <c r="Y550" s="206"/>
    </row>
    <row r="551" ht="14.25" customHeight="1">
      <c r="S551" s="206"/>
      <c r="T551" s="206"/>
      <c r="U551" s="206"/>
      <c r="V551" s="206"/>
      <c r="W551" s="206"/>
      <c r="X551" s="206"/>
      <c r="Y551" s="206"/>
    </row>
    <row r="552" ht="14.25" customHeight="1">
      <c r="S552" s="206"/>
      <c r="T552" s="206"/>
      <c r="U552" s="206"/>
      <c r="V552" s="206"/>
      <c r="W552" s="206"/>
      <c r="X552" s="206"/>
      <c r="Y552" s="206"/>
    </row>
    <row r="553" ht="14.25" customHeight="1">
      <c r="S553" s="206"/>
      <c r="T553" s="206"/>
      <c r="U553" s="206"/>
      <c r="V553" s="206"/>
      <c r="W553" s="206"/>
      <c r="X553" s="206"/>
      <c r="Y553" s="206"/>
    </row>
    <row r="554" ht="14.25" customHeight="1">
      <c r="S554" s="206"/>
      <c r="T554" s="206"/>
      <c r="U554" s="206"/>
      <c r="V554" s="206"/>
      <c r="W554" s="206"/>
      <c r="X554" s="206"/>
      <c r="Y554" s="206"/>
    </row>
    <row r="555" ht="14.25" customHeight="1">
      <c r="S555" s="206"/>
      <c r="T555" s="206"/>
      <c r="U555" s="206"/>
      <c r="V555" s="206"/>
      <c r="W555" s="206"/>
      <c r="X555" s="206"/>
      <c r="Y555" s="206"/>
    </row>
    <row r="556" ht="14.25" customHeight="1">
      <c r="S556" s="206"/>
      <c r="T556" s="206"/>
      <c r="U556" s="206"/>
      <c r="V556" s="206"/>
      <c r="W556" s="206"/>
      <c r="X556" s="206"/>
      <c r="Y556" s="206"/>
    </row>
    <row r="557" ht="14.25" customHeight="1">
      <c r="S557" s="206"/>
      <c r="T557" s="206"/>
      <c r="U557" s="206"/>
      <c r="V557" s="206"/>
      <c r="W557" s="206"/>
      <c r="X557" s="206"/>
      <c r="Y557" s="206"/>
    </row>
    <row r="558" ht="14.25" customHeight="1">
      <c r="S558" s="206"/>
      <c r="T558" s="206"/>
      <c r="U558" s="206"/>
      <c r="V558" s="206"/>
      <c r="W558" s="206"/>
      <c r="X558" s="206"/>
      <c r="Y558" s="206"/>
    </row>
    <row r="559" ht="14.25" customHeight="1">
      <c r="S559" s="206"/>
      <c r="T559" s="206"/>
      <c r="U559" s="206"/>
      <c r="V559" s="206"/>
      <c r="W559" s="206"/>
      <c r="X559" s="206"/>
      <c r="Y559" s="206"/>
    </row>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546">
    <mergeCell ref="X270:Y270"/>
    <mergeCell ref="X271:Y271"/>
    <mergeCell ref="X272:Y272"/>
    <mergeCell ref="X273:Y273"/>
    <mergeCell ref="X274:Y274"/>
    <mergeCell ref="X275:Y275"/>
    <mergeCell ref="X276:Y276"/>
    <mergeCell ref="X277:Y277"/>
    <mergeCell ref="X278:Y278"/>
    <mergeCell ref="X279:Y279"/>
    <mergeCell ref="X280:Y280"/>
    <mergeCell ref="X281:Y281"/>
    <mergeCell ref="X282:Y282"/>
    <mergeCell ref="X283:Y283"/>
    <mergeCell ref="X284:Y284"/>
    <mergeCell ref="X285:Y285"/>
    <mergeCell ref="X286:Y286"/>
    <mergeCell ref="X287:Y287"/>
    <mergeCell ref="X288:Y288"/>
    <mergeCell ref="X289:Y289"/>
    <mergeCell ref="X290:Y290"/>
    <mergeCell ref="X291:Y291"/>
    <mergeCell ref="X292:Y292"/>
    <mergeCell ref="X293:Y293"/>
    <mergeCell ref="X294:Y294"/>
    <mergeCell ref="X295:Y295"/>
    <mergeCell ref="X296:Y296"/>
    <mergeCell ref="X297:Y297"/>
    <mergeCell ref="X298:Y298"/>
    <mergeCell ref="X299:Y299"/>
    <mergeCell ref="X300:Y300"/>
    <mergeCell ref="X301:Y301"/>
    <mergeCell ref="X302:Y302"/>
    <mergeCell ref="X303:Y303"/>
    <mergeCell ref="X304:Y304"/>
    <mergeCell ref="X305:Y305"/>
    <mergeCell ref="X306:Y306"/>
    <mergeCell ref="X307:Y307"/>
    <mergeCell ref="X308:Y308"/>
    <mergeCell ref="X309:Y309"/>
    <mergeCell ref="X310:Y310"/>
    <mergeCell ref="X311:Y311"/>
    <mergeCell ref="X312:Y312"/>
    <mergeCell ref="X313:Y313"/>
    <mergeCell ref="X314:Y314"/>
    <mergeCell ref="X315:Y315"/>
    <mergeCell ref="X316:Y316"/>
    <mergeCell ref="X317:Y317"/>
    <mergeCell ref="X318:Y318"/>
    <mergeCell ref="X319:Y319"/>
    <mergeCell ref="X320:Y320"/>
    <mergeCell ref="X321:Y321"/>
    <mergeCell ref="X322:Y322"/>
    <mergeCell ref="X323:Y323"/>
    <mergeCell ref="X324:Y324"/>
    <mergeCell ref="X325:Y325"/>
    <mergeCell ref="X326:Y326"/>
    <mergeCell ref="X327:Y327"/>
    <mergeCell ref="X328:Y328"/>
    <mergeCell ref="X329:Y329"/>
    <mergeCell ref="X330:Y330"/>
    <mergeCell ref="X331:Y331"/>
    <mergeCell ref="X332:Y332"/>
    <mergeCell ref="X333:Y333"/>
    <mergeCell ref="X334:Y334"/>
    <mergeCell ref="X335:Y335"/>
    <mergeCell ref="X336:Y336"/>
    <mergeCell ref="X337:Y337"/>
    <mergeCell ref="X338:Y338"/>
    <mergeCell ref="X339:Y339"/>
    <mergeCell ref="X340:Y340"/>
    <mergeCell ref="X341:Y341"/>
    <mergeCell ref="X342:Y342"/>
    <mergeCell ref="X343:Y343"/>
    <mergeCell ref="X344:Y344"/>
    <mergeCell ref="X345:Y345"/>
    <mergeCell ref="X346:Y346"/>
    <mergeCell ref="X347:Y347"/>
    <mergeCell ref="X348:Y348"/>
    <mergeCell ref="X349:Y349"/>
    <mergeCell ref="X350:Y350"/>
    <mergeCell ref="X351:Y351"/>
    <mergeCell ref="X352:Y352"/>
    <mergeCell ref="X353:Y353"/>
    <mergeCell ref="X354:Y354"/>
    <mergeCell ref="X355:Y355"/>
    <mergeCell ref="X356:Y356"/>
    <mergeCell ref="X357:Y357"/>
    <mergeCell ref="X358:Y358"/>
    <mergeCell ref="X359:Y359"/>
    <mergeCell ref="X360:Y360"/>
    <mergeCell ref="X361:Y361"/>
    <mergeCell ref="X362:Y362"/>
    <mergeCell ref="X363:Y363"/>
    <mergeCell ref="X364:Y364"/>
    <mergeCell ref="X365:Y365"/>
    <mergeCell ref="X366:Y366"/>
    <mergeCell ref="X367:Y367"/>
    <mergeCell ref="X368:Y368"/>
    <mergeCell ref="X369:Y369"/>
    <mergeCell ref="X370:Y370"/>
    <mergeCell ref="X371:Y371"/>
    <mergeCell ref="X372:Y372"/>
    <mergeCell ref="X373:Y373"/>
    <mergeCell ref="X374:Y374"/>
    <mergeCell ref="X375:Y375"/>
    <mergeCell ref="X376:Y376"/>
    <mergeCell ref="X377:Y377"/>
    <mergeCell ref="X378:Y378"/>
    <mergeCell ref="X379:Y379"/>
    <mergeCell ref="X380:Y380"/>
    <mergeCell ref="X381:Y381"/>
    <mergeCell ref="X382:Y382"/>
    <mergeCell ref="X383:Y383"/>
    <mergeCell ref="X384:Y384"/>
    <mergeCell ref="X385:Y385"/>
    <mergeCell ref="X386:Y386"/>
    <mergeCell ref="X387:Y387"/>
    <mergeCell ref="X388:Y388"/>
    <mergeCell ref="X389:Y389"/>
    <mergeCell ref="X390:Y390"/>
    <mergeCell ref="X391:Y391"/>
    <mergeCell ref="X392:Y392"/>
    <mergeCell ref="X393:Y393"/>
    <mergeCell ref="X394:Y394"/>
    <mergeCell ref="X395:Y395"/>
    <mergeCell ref="X396:Y396"/>
    <mergeCell ref="X397:Y397"/>
    <mergeCell ref="X398:Y398"/>
    <mergeCell ref="X399:Y399"/>
    <mergeCell ref="X400:Y400"/>
    <mergeCell ref="X401:Y401"/>
    <mergeCell ref="X402:Y402"/>
    <mergeCell ref="X403:Y403"/>
    <mergeCell ref="X404:Y404"/>
    <mergeCell ref="X405:Y4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515:Y515"/>
    <mergeCell ref="X516:Y516"/>
    <mergeCell ref="X517:Y517"/>
    <mergeCell ref="X518:Y518"/>
    <mergeCell ref="X519:Y519"/>
    <mergeCell ref="X520:Y520"/>
    <mergeCell ref="X521:Y521"/>
    <mergeCell ref="X522:Y522"/>
    <mergeCell ref="X523:Y523"/>
    <mergeCell ref="X524:Y524"/>
    <mergeCell ref="X525:Y525"/>
    <mergeCell ref="X526:Y526"/>
    <mergeCell ref="X527:Y527"/>
    <mergeCell ref="X528:Y528"/>
    <mergeCell ref="X536:Y536"/>
    <mergeCell ref="X537:Y537"/>
    <mergeCell ref="X529:Y529"/>
    <mergeCell ref="X530:Y530"/>
    <mergeCell ref="X531:Y531"/>
    <mergeCell ref="X532:Y532"/>
    <mergeCell ref="X533:Y533"/>
    <mergeCell ref="X534:Y534"/>
    <mergeCell ref="X535:Y535"/>
    <mergeCell ref="X466:Y466"/>
    <mergeCell ref="X467:Y467"/>
    <mergeCell ref="X468:Y468"/>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03:Y503"/>
    <mergeCell ref="X504:Y504"/>
    <mergeCell ref="X505:Y505"/>
    <mergeCell ref="X506:Y506"/>
    <mergeCell ref="X507:Y507"/>
    <mergeCell ref="X508:Y508"/>
    <mergeCell ref="X509:Y509"/>
    <mergeCell ref="X510:Y510"/>
    <mergeCell ref="X511:Y511"/>
    <mergeCell ref="X512:Y512"/>
    <mergeCell ref="X513:Y513"/>
    <mergeCell ref="X514:Y514"/>
    <mergeCell ref="X10:Y14"/>
    <mergeCell ref="X15:Y15"/>
    <mergeCell ref="B9:E9"/>
    <mergeCell ref="B10:L14"/>
    <mergeCell ref="M10:M14"/>
    <mergeCell ref="N10:R11"/>
    <mergeCell ref="S10:W11"/>
    <mergeCell ref="Z10:Z14"/>
    <mergeCell ref="B15:L15"/>
    <mergeCell ref="X1:Z1"/>
    <mergeCell ref="A2:Z2"/>
    <mergeCell ref="A3:Z3"/>
    <mergeCell ref="I5:M5"/>
    <mergeCell ref="I6:M6"/>
    <mergeCell ref="I7:M7"/>
    <mergeCell ref="I8:M8"/>
    <mergeCell ref="N12:N14"/>
    <mergeCell ref="O12:O14"/>
    <mergeCell ref="P12:P14"/>
    <mergeCell ref="Q12:Q14"/>
    <mergeCell ref="R12:R14"/>
    <mergeCell ref="S12:S14"/>
    <mergeCell ref="T12:T14"/>
    <mergeCell ref="U12:U14"/>
    <mergeCell ref="B16:L16"/>
    <mergeCell ref="X16:Y16"/>
    <mergeCell ref="V12:V14"/>
    <mergeCell ref="W12:W14"/>
    <mergeCell ref="X17:Y17"/>
    <mergeCell ref="X18:Y18"/>
    <mergeCell ref="X19:Y19"/>
    <mergeCell ref="X20:Y20"/>
    <mergeCell ref="X21:Y21"/>
    <mergeCell ref="X22:Y22"/>
    <mergeCell ref="X23:Y23"/>
    <mergeCell ref="X24:Y24"/>
    <mergeCell ref="X25:Y25"/>
    <mergeCell ref="X26:Y26"/>
    <mergeCell ref="X27:Y27"/>
    <mergeCell ref="X28:Y28"/>
    <mergeCell ref="X29:Y29"/>
    <mergeCell ref="X30:Y30"/>
    <mergeCell ref="X31:Y31"/>
    <mergeCell ref="X32:Y32"/>
    <mergeCell ref="X33:Y33"/>
    <mergeCell ref="X34:Y34"/>
    <mergeCell ref="X35:Y35"/>
    <mergeCell ref="X36:Y36"/>
    <mergeCell ref="X37:Y37"/>
    <mergeCell ref="X38:Y38"/>
    <mergeCell ref="X39:Y39"/>
    <mergeCell ref="X40:Y40"/>
    <mergeCell ref="X41:Y41"/>
    <mergeCell ref="X42:Y42"/>
    <mergeCell ref="X43:Y43"/>
    <mergeCell ref="X44:Y44"/>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96:Y96"/>
    <mergeCell ref="X97:Y97"/>
    <mergeCell ref="X98:Y98"/>
    <mergeCell ref="X99:Y99"/>
    <mergeCell ref="X100:Y100"/>
    <mergeCell ref="X101:Y101"/>
    <mergeCell ref="X102:Y102"/>
    <mergeCell ref="X103:Y103"/>
    <mergeCell ref="X104:Y104"/>
    <mergeCell ref="X105:Y105"/>
    <mergeCell ref="X106:Y106"/>
    <mergeCell ref="X107:Y107"/>
    <mergeCell ref="X108:Y108"/>
    <mergeCell ref="X109:Y109"/>
    <mergeCell ref="X110:Y110"/>
    <mergeCell ref="X111:Y111"/>
    <mergeCell ref="X114:Y114"/>
    <mergeCell ref="X115:Y115"/>
    <mergeCell ref="X116:Y116"/>
    <mergeCell ref="X117:Y117"/>
    <mergeCell ref="X118:Y118"/>
    <mergeCell ref="X119:Y119"/>
    <mergeCell ref="X120:Y120"/>
    <mergeCell ref="X121:Y121"/>
    <mergeCell ref="X122:Y122"/>
    <mergeCell ref="X123:Y123"/>
    <mergeCell ref="X124:Y124"/>
    <mergeCell ref="X125:Y125"/>
    <mergeCell ref="X126:Y126"/>
    <mergeCell ref="X127:Y127"/>
    <mergeCell ref="X128:Y128"/>
    <mergeCell ref="X129:Y129"/>
    <mergeCell ref="X130:Y130"/>
    <mergeCell ref="X131:Y131"/>
    <mergeCell ref="X133:Y133"/>
    <mergeCell ref="X134:Y134"/>
    <mergeCell ref="X135:Y135"/>
    <mergeCell ref="X136:Y136"/>
    <mergeCell ref="X137:Y137"/>
    <mergeCell ref="X138:Y138"/>
    <mergeCell ref="X139:Y139"/>
    <mergeCell ref="X140:Y140"/>
    <mergeCell ref="X141:Y141"/>
    <mergeCell ref="X142:Y142"/>
    <mergeCell ref="X143:Y143"/>
    <mergeCell ref="X144:Y144"/>
    <mergeCell ref="X145:Y145"/>
    <mergeCell ref="X146:Y146"/>
    <mergeCell ref="X147:Y147"/>
    <mergeCell ref="X148:Y148"/>
    <mergeCell ref="X149:Y149"/>
    <mergeCell ref="X150:Y150"/>
    <mergeCell ref="X151:Y151"/>
    <mergeCell ref="X152:Y152"/>
    <mergeCell ref="X153:Y153"/>
    <mergeCell ref="X154:Y154"/>
    <mergeCell ref="X155:Y155"/>
    <mergeCell ref="X156:Y156"/>
    <mergeCell ref="X157:Y157"/>
    <mergeCell ref="X158:Y158"/>
    <mergeCell ref="X159:Y159"/>
    <mergeCell ref="X160:Y160"/>
    <mergeCell ref="X161:Y161"/>
    <mergeCell ref="X162:Y162"/>
    <mergeCell ref="X163:Y163"/>
    <mergeCell ref="X164:Y164"/>
    <mergeCell ref="X165:Y165"/>
    <mergeCell ref="X166:Y166"/>
    <mergeCell ref="X167:Y167"/>
    <mergeCell ref="X168:Y168"/>
    <mergeCell ref="X169:Y169"/>
    <mergeCell ref="X170:Y170"/>
    <mergeCell ref="X171:Y171"/>
    <mergeCell ref="X172:Y172"/>
    <mergeCell ref="X173:Y173"/>
    <mergeCell ref="X174:Y174"/>
    <mergeCell ref="X175:Y175"/>
    <mergeCell ref="X176:Y176"/>
    <mergeCell ref="X177:Y177"/>
    <mergeCell ref="X178:Y178"/>
    <mergeCell ref="X179:Y179"/>
    <mergeCell ref="X180:Y180"/>
    <mergeCell ref="X181:Y181"/>
    <mergeCell ref="X182:Y182"/>
    <mergeCell ref="X183:Y183"/>
    <mergeCell ref="X184:Y184"/>
    <mergeCell ref="X185:Y185"/>
    <mergeCell ref="X186:Y186"/>
    <mergeCell ref="X187:Y187"/>
    <mergeCell ref="X188:Y188"/>
    <mergeCell ref="X189:Y189"/>
    <mergeCell ref="X190:Y190"/>
    <mergeCell ref="X191:Y191"/>
    <mergeCell ref="X192:Y192"/>
    <mergeCell ref="X193:Y193"/>
    <mergeCell ref="X194:Y194"/>
    <mergeCell ref="X195:Y195"/>
    <mergeCell ref="X196:Y196"/>
    <mergeCell ref="X197:Y197"/>
    <mergeCell ref="X198:Y198"/>
    <mergeCell ref="X199:Y199"/>
    <mergeCell ref="X200:Y200"/>
    <mergeCell ref="X201:Y201"/>
    <mergeCell ref="X202:Y202"/>
    <mergeCell ref="X203:Y203"/>
    <mergeCell ref="X204:Y204"/>
    <mergeCell ref="X205:Y205"/>
    <mergeCell ref="X206:Y206"/>
    <mergeCell ref="X207:Y207"/>
    <mergeCell ref="X208:Y208"/>
    <mergeCell ref="X209:Y209"/>
    <mergeCell ref="X210:Y210"/>
    <mergeCell ref="X211:Y211"/>
    <mergeCell ref="X212:Y212"/>
    <mergeCell ref="X213:Y213"/>
    <mergeCell ref="X214:Y214"/>
    <mergeCell ref="X215:Y215"/>
    <mergeCell ref="X216:Y216"/>
    <mergeCell ref="X217:Y217"/>
    <mergeCell ref="X218:Y218"/>
    <mergeCell ref="X219:Y219"/>
    <mergeCell ref="X220:Y220"/>
    <mergeCell ref="X221:Y221"/>
    <mergeCell ref="X222:Y222"/>
    <mergeCell ref="X223:Y223"/>
    <mergeCell ref="X224:Y224"/>
    <mergeCell ref="X225:Y225"/>
    <mergeCell ref="X226:Y226"/>
    <mergeCell ref="X227:Y227"/>
    <mergeCell ref="X228:Y228"/>
    <mergeCell ref="X229:Y229"/>
    <mergeCell ref="X230:Y230"/>
    <mergeCell ref="X231:Y231"/>
    <mergeCell ref="X232:Y232"/>
    <mergeCell ref="X233:Y233"/>
    <mergeCell ref="X234:Y234"/>
    <mergeCell ref="X235:Y235"/>
    <mergeCell ref="X236:Y236"/>
    <mergeCell ref="X237:Y237"/>
    <mergeCell ref="X238:Y238"/>
    <mergeCell ref="X239:Y239"/>
    <mergeCell ref="X240:Y240"/>
    <mergeCell ref="X241:Y241"/>
    <mergeCell ref="X242:Y242"/>
    <mergeCell ref="X243:Y243"/>
    <mergeCell ref="X244:Y244"/>
    <mergeCell ref="X245:Y245"/>
    <mergeCell ref="X246:Y246"/>
    <mergeCell ref="X247:Y247"/>
    <mergeCell ref="X248:Y248"/>
    <mergeCell ref="X249:Y249"/>
    <mergeCell ref="X250:Y250"/>
    <mergeCell ref="X251:Y251"/>
    <mergeCell ref="X252:Y252"/>
    <mergeCell ref="X253:Y253"/>
    <mergeCell ref="X254:Y254"/>
    <mergeCell ref="X255:Y255"/>
    <mergeCell ref="X256:Y256"/>
    <mergeCell ref="X257:Y257"/>
    <mergeCell ref="X258:Y258"/>
    <mergeCell ref="X259:Y259"/>
    <mergeCell ref="X260:Y260"/>
    <mergeCell ref="X261:Y261"/>
    <mergeCell ref="X262:Y262"/>
    <mergeCell ref="X263:Y263"/>
    <mergeCell ref="X264:Y264"/>
    <mergeCell ref="X265:Y265"/>
    <mergeCell ref="X266:Y266"/>
    <mergeCell ref="X267:Y267"/>
    <mergeCell ref="X268:Y268"/>
    <mergeCell ref="X269:Y269"/>
  </mergeCells>
  <printOptions horizontalCentered="1"/>
  <pageMargins bottom="0.75" footer="0.0" header="0.0" left="0.25" right="0.25" top="0.75"/>
  <pageSetup scale="53"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hidden="1" min="1" max="1" width="9.14"/>
    <col customWidth="1" min="2" max="13" width="9.14"/>
    <col customWidth="1" min="14" max="14" width="14.71"/>
    <col customWidth="1" min="15" max="15" width="14.29"/>
    <col customWidth="1" min="16" max="16" width="15.0"/>
    <col customWidth="1" min="17" max="17" width="13.43"/>
    <col customWidth="1" min="18" max="18" width="18.86"/>
    <col customWidth="1" min="19" max="20" width="13.29"/>
    <col customWidth="1" min="21" max="21" width="16.29"/>
    <col customWidth="1" min="22" max="22" width="12.57"/>
    <col customWidth="1" min="23" max="23" width="20.57"/>
    <col customWidth="1" min="24" max="25" width="9.14"/>
    <col customWidth="1" min="26" max="26" width="13.43"/>
  </cols>
  <sheetData>
    <row r="1" ht="14.25" customHeight="1">
      <c r="A1" s="1"/>
      <c r="B1" s="1"/>
      <c r="C1" s="1"/>
      <c r="D1" s="1"/>
      <c r="E1" s="1"/>
      <c r="F1" s="1"/>
      <c r="G1" s="1"/>
      <c r="H1" s="1"/>
      <c r="I1" s="1"/>
      <c r="J1" s="1"/>
      <c r="K1" s="1"/>
      <c r="L1" s="1"/>
      <c r="M1" s="1"/>
      <c r="N1" s="1"/>
      <c r="O1" s="1"/>
      <c r="P1" s="1"/>
      <c r="Q1" s="1"/>
      <c r="R1" s="1"/>
      <c r="S1" s="1"/>
      <c r="T1" s="1"/>
      <c r="U1" s="1"/>
      <c r="V1" s="1"/>
      <c r="W1" s="1"/>
      <c r="X1" s="2" t="s">
        <v>0</v>
      </c>
      <c r="Y1" s="5"/>
      <c r="Z1" s="3"/>
    </row>
    <row r="2" ht="14.25" customHeight="1">
      <c r="A2" s="4" t="s">
        <v>1</v>
      </c>
      <c r="B2" s="5"/>
      <c r="C2" s="5"/>
      <c r="D2" s="5"/>
      <c r="E2" s="5"/>
      <c r="F2" s="5"/>
      <c r="G2" s="5"/>
      <c r="H2" s="5"/>
      <c r="I2" s="5"/>
      <c r="J2" s="5"/>
      <c r="K2" s="5"/>
      <c r="L2" s="5"/>
      <c r="M2" s="5"/>
      <c r="N2" s="5"/>
      <c r="O2" s="5"/>
      <c r="P2" s="5"/>
      <c r="Q2" s="5"/>
      <c r="R2" s="5"/>
      <c r="S2" s="5"/>
      <c r="T2" s="5"/>
      <c r="U2" s="5"/>
      <c r="V2" s="5"/>
      <c r="W2" s="5"/>
      <c r="X2" s="5"/>
      <c r="Y2" s="5"/>
      <c r="Z2" s="3"/>
    </row>
    <row r="3" ht="14.25" customHeight="1">
      <c r="A3" s="6" t="s">
        <v>1195</v>
      </c>
      <c r="B3" s="5"/>
      <c r="C3" s="5"/>
      <c r="D3" s="5"/>
      <c r="E3" s="5"/>
      <c r="F3" s="5"/>
      <c r="G3" s="5"/>
      <c r="H3" s="5"/>
      <c r="I3" s="5"/>
      <c r="J3" s="5"/>
      <c r="K3" s="5"/>
      <c r="L3" s="5"/>
      <c r="M3" s="5"/>
      <c r="N3" s="5"/>
      <c r="O3" s="5"/>
      <c r="P3" s="5"/>
      <c r="Q3" s="5"/>
      <c r="R3" s="5"/>
      <c r="S3" s="5"/>
      <c r="T3" s="5"/>
      <c r="U3" s="5"/>
      <c r="V3" s="5"/>
      <c r="W3" s="5"/>
      <c r="X3" s="5"/>
      <c r="Y3" s="5"/>
      <c r="Z3" s="3"/>
    </row>
    <row r="4" ht="14.25" customHeight="1">
      <c r="A4" s="7"/>
      <c r="B4" s="7"/>
      <c r="C4" s="7"/>
      <c r="D4" s="7"/>
      <c r="E4" s="7"/>
      <c r="F4" s="7"/>
      <c r="G4" s="7"/>
      <c r="H4" s="7"/>
      <c r="I4" s="7"/>
      <c r="J4" s="7"/>
      <c r="K4" s="7"/>
      <c r="L4" s="7"/>
      <c r="M4" s="7"/>
      <c r="N4" s="7"/>
      <c r="O4" s="7"/>
      <c r="P4" s="7"/>
      <c r="Q4" s="7"/>
      <c r="R4" s="7"/>
      <c r="S4" s="7"/>
      <c r="T4" s="7"/>
      <c r="U4" s="7"/>
      <c r="V4" s="7"/>
      <c r="W4" s="7"/>
      <c r="X4" s="7"/>
      <c r="Y4" s="7"/>
      <c r="Z4" s="8"/>
    </row>
    <row r="5" ht="14.25" customHeight="1">
      <c r="A5" s="1"/>
      <c r="B5" s="9" t="s">
        <v>3</v>
      </c>
      <c r="C5" s="9"/>
      <c r="D5" s="9"/>
      <c r="E5" s="10"/>
      <c r="F5" s="10"/>
      <c r="G5" s="10"/>
      <c r="H5" s="11" t="s">
        <v>4</v>
      </c>
      <c r="I5" s="12" t="s">
        <v>5</v>
      </c>
      <c r="J5" s="5"/>
      <c r="K5" s="5"/>
      <c r="L5" s="5"/>
      <c r="M5" s="3"/>
      <c r="N5" s="13"/>
      <c r="O5" s="13"/>
      <c r="P5" s="13"/>
      <c r="Q5" s="13"/>
      <c r="R5" s="13"/>
      <c r="S5" s="13"/>
      <c r="T5" s="13"/>
      <c r="U5" s="14"/>
      <c r="V5" s="14"/>
      <c r="W5" s="15"/>
      <c r="X5" s="16" t="s">
        <v>6</v>
      </c>
      <c r="Y5" s="16"/>
      <c r="Z5" s="17"/>
    </row>
    <row r="6" ht="14.25" customHeight="1">
      <c r="A6" s="1"/>
      <c r="B6" s="9" t="s">
        <v>7</v>
      </c>
      <c r="C6" s="9"/>
      <c r="D6" s="9"/>
      <c r="E6" s="10"/>
      <c r="F6" s="10"/>
      <c r="G6" s="10"/>
      <c r="H6" s="11" t="s">
        <v>4</v>
      </c>
      <c r="I6" s="12"/>
      <c r="J6" s="5"/>
      <c r="K6" s="5"/>
      <c r="L6" s="5"/>
      <c r="M6" s="3"/>
      <c r="N6" s="13"/>
      <c r="O6" s="13"/>
      <c r="P6" s="13"/>
      <c r="Q6" s="13"/>
      <c r="R6" s="13"/>
      <c r="S6" s="13"/>
      <c r="T6" s="13"/>
      <c r="U6" s="14"/>
      <c r="V6" s="14"/>
      <c r="W6" s="18"/>
      <c r="X6" s="16" t="s">
        <v>8</v>
      </c>
      <c r="Y6" s="16"/>
      <c r="Z6" s="17"/>
    </row>
    <row r="7" ht="14.25" customHeight="1">
      <c r="A7" s="1"/>
      <c r="B7" s="9" t="s">
        <v>9</v>
      </c>
      <c r="C7" s="9"/>
      <c r="D7" s="9"/>
      <c r="E7" s="10"/>
      <c r="F7" s="10"/>
      <c r="G7" s="10"/>
      <c r="H7" s="11" t="s">
        <v>4</v>
      </c>
      <c r="I7" s="12"/>
      <c r="J7" s="5"/>
      <c r="K7" s="5"/>
      <c r="L7" s="5"/>
      <c r="M7" s="3"/>
      <c r="N7" s="13"/>
      <c r="O7" s="13"/>
      <c r="P7" s="13"/>
      <c r="Q7" s="13"/>
      <c r="R7" s="13"/>
      <c r="S7" s="14"/>
      <c r="T7" s="14"/>
      <c r="U7" s="14"/>
      <c r="V7" s="1"/>
      <c r="W7" s="18"/>
      <c r="X7" s="16" t="s">
        <v>10</v>
      </c>
      <c r="Y7" s="16"/>
      <c r="Z7" s="17"/>
    </row>
    <row r="8" ht="14.25" customHeight="1">
      <c r="A8" s="1"/>
      <c r="B8" s="9" t="s">
        <v>11</v>
      </c>
      <c r="C8" s="9"/>
      <c r="D8" s="9"/>
      <c r="E8" s="10"/>
      <c r="F8" s="10"/>
      <c r="G8" s="10"/>
      <c r="H8" s="11" t="s">
        <v>4</v>
      </c>
      <c r="I8" s="12"/>
      <c r="J8" s="5"/>
      <c r="K8" s="5"/>
      <c r="L8" s="5"/>
      <c r="M8" s="3"/>
      <c r="N8" s="13"/>
      <c r="O8" s="13"/>
      <c r="P8" s="13"/>
      <c r="Q8" s="13"/>
      <c r="R8" s="13"/>
      <c r="S8" s="14"/>
      <c r="T8" s="14"/>
      <c r="U8" s="14"/>
      <c r="V8" s="1"/>
      <c r="W8" s="18"/>
      <c r="X8" s="16" t="s">
        <v>12</v>
      </c>
      <c r="Y8" s="16"/>
      <c r="Z8" s="17"/>
    </row>
    <row r="9" ht="14.25" customHeight="1">
      <c r="A9" s="1"/>
      <c r="B9" s="19"/>
      <c r="C9" s="5"/>
      <c r="D9" s="5"/>
      <c r="E9" s="3"/>
      <c r="F9" s="17"/>
      <c r="G9" s="17"/>
      <c r="H9" s="17"/>
      <c r="I9" s="17"/>
      <c r="J9" s="17"/>
      <c r="K9" s="1"/>
      <c r="L9" s="1"/>
      <c r="M9" s="1"/>
      <c r="N9" s="1"/>
      <c r="O9" s="1"/>
      <c r="P9" s="1"/>
      <c r="Q9" s="1"/>
      <c r="R9" s="1"/>
      <c r="S9" s="1"/>
      <c r="T9" s="1"/>
      <c r="U9" s="14"/>
      <c r="V9" s="1"/>
      <c r="W9" s="14"/>
      <c r="X9" s="1"/>
      <c r="Y9" s="17"/>
      <c r="Z9" s="1"/>
    </row>
    <row r="10" ht="15.75" customHeight="1">
      <c r="A10" s="1"/>
      <c r="B10" s="20" t="s">
        <v>13</v>
      </c>
      <c r="C10" s="21"/>
      <c r="D10" s="21"/>
      <c r="E10" s="21"/>
      <c r="F10" s="21"/>
      <c r="G10" s="21"/>
      <c r="H10" s="21"/>
      <c r="I10" s="21"/>
      <c r="J10" s="21"/>
      <c r="K10" s="21"/>
      <c r="L10" s="22"/>
      <c r="M10" s="23" t="s">
        <v>14</v>
      </c>
      <c r="N10" s="20" t="s">
        <v>15</v>
      </c>
      <c r="O10" s="21"/>
      <c r="P10" s="21"/>
      <c r="Q10" s="21"/>
      <c r="R10" s="22"/>
      <c r="S10" s="24" t="s">
        <v>16</v>
      </c>
      <c r="T10" s="21"/>
      <c r="U10" s="21"/>
      <c r="V10" s="21"/>
      <c r="W10" s="25"/>
      <c r="X10" s="20" t="s">
        <v>1182</v>
      </c>
      <c r="Y10" s="22"/>
      <c r="Z10" s="27" t="s">
        <v>18</v>
      </c>
    </row>
    <row r="11" ht="14.25" customHeight="1">
      <c r="A11" s="1"/>
      <c r="B11" s="28"/>
      <c r="L11" s="29"/>
      <c r="M11" s="30"/>
      <c r="N11" s="31"/>
      <c r="O11" s="32"/>
      <c r="P11" s="32"/>
      <c r="Q11" s="32"/>
      <c r="R11" s="33"/>
      <c r="S11" s="34"/>
      <c r="T11" s="35"/>
      <c r="U11" s="35"/>
      <c r="V11" s="35"/>
      <c r="W11" s="36"/>
      <c r="X11" s="28"/>
      <c r="Y11" s="29"/>
      <c r="Z11" s="38"/>
    </row>
    <row r="12" ht="15.75" customHeight="1">
      <c r="A12" s="1"/>
      <c r="B12" s="28"/>
      <c r="L12" s="29"/>
      <c r="M12" s="30"/>
      <c r="N12" s="39" t="s">
        <v>19</v>
      </c>
      <c r="O12" s="23" t="s">
        <v>20</v>
      </c>
      <c r="P12" s="39" t="s">
        <v>21</v>
      </c>
      <c r="Q12" s="23" t="s">
        <v>22</v>
      </c>
      <c r="R12" s="39" t="s">
        <v>23</v>
      </c>
      <c r="S12" s="23" t="s">
        <v>19</v>
      </c>
      <c r="T12" s="39" t="s">
        <v>20</v>
      </c>
      <c r="U12" s="23" t="s">
        <v>21</v>
      </c>
      <c r="V12" s="39" t="s">
        <v>22</v>
      </c>
      <c r="W12" s="23" t="s">
        <v>23</v>
      </c>
      <c r="X12" s="28"/>
      <c r="Y12" s="29"/>
      <c r="Z12" s="38"/>
    </row>
    <row r="13" ht="14.25" customHeight="1">
      <c r="A13" s="1"/>
      <c r="B13" s="28"/>
      <c r="L13" s="29"/>
      <c r="M13" s="30"/>
      <c r="N13" s="40"/>
      <c r="O13" s="30"/>
      <c r="P13" s="40"/>
      <c r="Q13" s="30"/>
      <c r="R13" s="40"/>
      <c r="S13" s="30"/>
      <c r="T13" s="40"/>
      <c r="U13" s="30"/>
      <c r="V13" s="40"/>
      <c r="W13" s="30"/>
      <c r="X13" s="28"/>
      <c r="Y13" s="29"/>
      <c r="Z13" s="38"/>
    </row>
    <row r="14" ht="14.25" customHeight="1">
      <c r="A14" s="1"/>
      <c r="B14" s="31"/>
      <c r="C14" s="32"/>
      <c r="D14" s="32"/>
      <c r="E14" s="32"/>
      <c r="F14" s="32"/>
      <c r="G14" s="32"/>
      <c r="H14" s="32"/>
      <c r="I14" s="32"/>
      <c r="J14" s="32"/>
      <c r="K14" s="32"/>
      <c r="L14" s="33"/>
      <c r="M14" s="41"/>
      <c r="N14" s="42"/>
      <c r="O14" s="41"/>
      <c r="P14" s="42"/>
      <c r="Q14" s="41"/>
      <c r="R14" s="42"/>
      <c r="S14" s="41"/>
      <c r="T14" s="42"/>
      <c r="U14" s="41"/>
      <c r="V14" s="42"/>
      <c r="W14" s="41"/>
      <c r="X14" s="31"/>
      <c r="Y14" s="33"/>
      <c r="Z14" s="44"/>
    </row>
    <row r="15" ht="14.25" customHeight="1">
      <c r="A15" s="1"/>
      <c r="B15" s="45">
        <v>1.0</v>
      </c>
      <c r="C15" s="5"/>
      <c r="D15" s="5"/>
      <c r="E15" s="5"/>
      <c r="F15" s="5"/>
      <c r="G15" s="5"/>
      <c r="H15" s="5"/>
      <c r="I15" s="5"/>
      <c r="J15" s="5"/>
      <c r="K15" s="5"/>
      <c r="L15" s="46"/>
      <c r="M15" s="47">
        <v>2.0</v>
      </c>
      <c r="N15" s="48">
        <v>3.0</v>
      </c>
      <c r="O15" s="47">
        <v>4.0</v>
      </c>
      <c r="P15" s="49">
        <v>5.0</v>
      </c>
      <c r="Q15" s="50">
        <v>6.0</v>
      </c>
      <c r="R15" s="51" t="s">
        <v>24</v>
      </c>
      <c r="S15" s="52">
        <v>8.0</v>
      </c>
      <c r="T15" s="51">
        <v>9.0</v>
      </c>
      <c r="U15" s="52">
        <v>10.0</v>
      </c>
      <c r="V15" s="51">
        <v>11.0</v>
      </c>
      <c r="W15" s="52" t="s">
        <v>25</v>
      </c>
      <c r="X15" s="543">
        <v>13.0</v>
      </c>
      <c r="Y15" s="544"/>
      <c r="Z15" s="54">
        <v>14.0</v>
      </c>
    </row>
    <row r="16" ht="14.25" customHeight="1">
      <c r="B16" s="55"/>
      <c r="L16" s="29"/>
      <c r="M16" s="56"/>
      <c r="N16" s="57"/>
      <c r="O16" s="56"/>
      <c r="P16" s="57"/>
      <c r="Q16" s="56"/>
      <c r="R16" s="57"/>
      <c r="S16" s="56"/>
      <c r="T16" s="57"/>
      <c r="U16" s="56"/>
      <c r="V16" s="57"/>
      <c r="W16" s="56"/>
      <c r="X16" s="545"/>
      <c r="Y16" s="224"/>
      <c r="Z16" s="59"/>
    </row>
    <row r="17" ht="14.25" customHeight="1">
      <c r="B17" s="60" t="s">
        <v>840</v>
      </c>
      <c r="L17" s="61"/>
      <c r="M17" s="62"/>
      <c r="N17" s="63"/>
      <c r="O17" s="62"/>
      <c r="P17" s="63"/>
      <c r="Q17" s="62"/>
      <c r="R17" s="63"/>
      <c r="S17" s="62"/>
      <c r="T17" s="63"/>
      <c r="U17" s="62"/>
      <c r="V17" s="63"/>
      <c r="W17" s="62"/>
      <c r="X17" s="117"/>
      <c r="Y17" s="173"/>
      <c r="Z17" s="65"/>
    </row>
    <row r="18" ht="14.25" customHeight="1">
      <c r="B18" s="113"/>
      <c r="L18" s="61"/>
      <c r="M18" s="62"/>
      <c r="N18" s="63"/>
      <c r="O18" s="62"/>
      <c r="P18" s="63"/>
      <c r="Q18" s="62"/>
      <c r="R18" s="63"/>
      <c r="S18" s="62"/>
      <c r="T18" s="63"/>
      <c r="U18" s="62"/>
      <c r="V18" s="63"/>
      <c r="W18" s="62"/>
      <c r="X18" s="117"/>
      <c r="Y18" s="173"/>
      <c r="Z18" s="65"/>
    </row>
    <row r="19" ht="15.0" customHeight="1">
      <c r="B19" s="69" t="s">
        <v>841</v>
      </c>
      <c r="C19" s="70"/>
      <c r="L19" s="61"/>
      <c r="M19" s="62"/>
      <c r="N19" s="71" t="s">
        <v>131</v>
      </c>
      <c r="O19" s="72" t="s">
        <v>131</v>
      </c>
      <c r="P19" s="71" t="s">
        <v>131</v>
      </c>
      <c r="Q19" s="72" t="s">
        <v>131</v>
      </c>
      <c r="R19" s="63">
        <f t="shared" ref="R19:R44" si="1">SUM(N19:Q19)</f>
        <v>0</v>
      </c>
      <c r="S19" s="72">
        <v>1.0</v>
      </c>
      <c r="T19" s="71">
        <v>1.0</v>
      </c>
      <c r="U19" s="72">
        <v>16.0</v>
      </c>
      <c r="V19" s="71">
        <v>0.0</v>
      </c>
      <c r="W19" s="62">
        <f>SUM(S19:V19)</f>
        <v>18</v>
      </c>
      <c r="X19" s="117"/>
      <c r="Y19" s="173"/>
      <c r="Z19" s="65"/>
    </row>
    <row r="20" ht="14.25" customHeight="1">
      <c r="B20" s="547"/>
      <c r="C20" s="75"/>
      <c r="L20" s="61"/>
      <c r="M20" s="62"/>
      <c r="N20" s="71"/>
      <c r="O20" s="72"/>
      <c r="P20" s="71"/>
      <c r="Q20" s="72"/>
      <c r="R20" s="63">
        <f t="shared" si="1"/>
        <v>0</v>
      </c>
      <c r="S20" s="72"/>
      <c r="T20" s="71"/>
      <c r="U20" s="72"/>
      <c r="V20" s="71"/>
      <c r="W20" s="62"/>
      <c r="X20" s="117"/>
      <c r="Y20" s="173"/>
      <c r="Z20" s="65"/>
    </row>
    <row r="21" ht="15.0" customHeight="1">
      <c r="B21" s="69" t="s">
        <v>842</v>
      </c>
      <c r="C21" s="70"/>
      <c r="L21" s="61"/>
      <c r="M21" s="62"/>
      <c r="N21" s="71"/>
      <c r="O21" s="72"/>
      <c r="P21" s="71"/>
      <c r="Q21" s="72"/>
      <c r="R21" s="63">
        <f t="shared" si="1"/>
        <v>0</v>
      </c>
      <c r="S21" s="72"/>
      <c r="T21" s="71"/>
      <c r="U21" s="72"/>
      <c r="V21" s="71"/>
      <c r="W21" s="62"/>
      <c r="X21" s="117"/>
      <c r="Y21" s="173"/>
      <c r="Z21" s="65"/>
    </row>
    <row r="22" ht="14.25" customHeight="1">
      <c r="B22" s="547"/>
      <c r="C22" s="75"/>
      <c r="L22" s="61"/>
      <c r="M22" s="62"/>
      <c r="N22" s="71"/>
      <c r="O22" s="72"/>
      <c r="P22" s="71"/>
      <c r="Q22" s="72"/>
      <c r="R22" s="63">
        <f t="shared" si="1"/>
        <v>0</v>
      </c>
      <c r="S22" s="72"/>
      <c r="T22" s="71"/>
      <c r="U22" s="72"/>
      <c r="V22" s="71"/>
      <c r="W22" s="62"/>
      <c r="X22" s="117"/>
      <c r="Y22" s="173"/>
      <c r="Z22" s="65"/>
    </row>
    <row r="23" ht="14.25" customHeight="1">
      <c r="B23" s="69" t="s">
        <v>843</v>
      </c>
      <c r="C23" s="77"/>
      <c r="L23" s="61"/>
      <c r="M23" s="62"/>
      <c r="N23" s="603"/>
      <c r="O23" s="604"/>
      <c r="P23" s="603"/>
      <c r="Q23" s="604">
        <v>1.0</v>
      </c>
      <c r="R23" s="134">
        <f t="shared" si="1"/>
        <v>1</v>
      </c>
      <c r="S23" s="604"/>
      <c r="T23" s="603"/>
      <c r="U23" s="604"/>
      <c r="V23" s="603">
        <v>1.0</v>
      </c>
      <c r="W23" s="605">
        <f>SUM(S23:V23)</f>
        <v>1</v>
      </c>
      <c r="X23" s="117"/>
      <c r="Y23" s="173"/>
      <c r="Z23" s="65"/>
    </row>
    <row r="24" ht="14.25" customHeight="1">
      <c r="B24" s="84"/>
      <c r="C24" s="548"/>
      <c r="L24" s="61"/>
      <c r="M24" s="62"/>
      <c r="N24" s="552"/>
      <c r="O24" s="551"/>
      <c r="P24" s="552"/>
      <c r="Q24" s="551"/>
      <c r="R24" s="134">
        <f t="shared" si="1"/>
        <v>0</v>
      </c>
      <c r="S24" s="551"/>
      <c r="T24" s="552"/>
      <c r="U24" s="551"/>
      <c r="V24" s="552"/>
      <c r="W24" s="62"/>
      <c r="X24" s="117"/>
      <c r="Y24" s="173"/>
      <c r="Z24" s="65"/>
    </row>
    <row r="25" ht="14.25" customHeight="1">
      <c r="B25" s="69" t="s">
        <v>844</v>
      </c>
      <c r="C25" s="70"/>
      <c r="L25" s="61"/>
      <c r="M25" s="62"/>
      <c r="N25" s="603"/>
      <c r="O25" s="604"/>
      <c r="P25" s="603"/>
      <c r="Q25" s="604"/>
      <c r="R25" s="134">
        <f t="shared" si="1"/>
        <v>0</v>
      </c>
      <c r="S25" s="604"/>
      <c r="T25" s="603"/>
      <c r="U25" s="604"/>
      <c r="V25" s="603"/>
      <c r="W25" s="62"/>
      <c r="X25" s="117"/>
      <c r="Y25" s="173"/>
      <c r="Z25" s="65"/>
    </row>
    <row r="26" ht="14.25" customHeight="1">
      <c r="B26" s="549" t="s">
        <v>845</v>
      </c>
      <c r="C26" s="70" t="s">
        <v>1196</v>
      </c>
      <c r="L26" s="61"/>
      <c r="M26" s="62"/>
      <c r="N26" s="552"/>
      <c r="O26" s="551"/>
      <c r="P26" s="552"/>
      <c r="Q26" s="551"/>
      <c r="R26" s="134">
        <f t="shared" si="1"/>
        <v>0</v>
      </c>
      <c r="S26" s="551"/>
      <c r="T26" s="552"/>
      <c r="U26" s="551"/>
      <c r="V26" s="552"/>
      <c r="W26" s="62"/>
      <c r="X26" s="117"/>
      <c r="Y26" s="173"/>
      <c r="Z26" s="65"/>
    </row>
    <row r="27" ht="14.25" customHeight="1">
      <c r="B27" s="550" t="s">
        <v>847</v>
      </c>
      <c r="C27" s="70" t="s">
        <v>848</v>
      </c>
      <c r="L27" s="61"/>
      <c r="M27" s="62"/>
      <c r="N27" s="552"/>
      <c r="O27" s="551"/>
      <c r="P27" s="552"/>
      <c r="Q27" s="551"/>
      <c r="R27" s="134">
        <f t="shared" si="1"/>
        <v>0</v>
      </c>
      <c r="S27" s="551"/>
      <c r="T27" s="552"/>
      <c r="U27" s="551"/>
      <c r="V27" s="552"/>
      <c r="W27" s="62"/>
      <c r="X27" s="117"/>
      <c r="Y27" s="173"/>
      <c r="Z27" s="65"/>
    </row>
    <row r="28" ht="14.25" customHeight="1">
      <c r="B28" s="550" t="s">
        <v>849</v>
      </c>
      <c r="C28" s="70" t="s">
        <v>850</v>
      </c>
      <c r="L28" s="61"/>
      <c r="M28" s="62"/>
      <c r="N28" s="552"/>
      <c r="O28" s="551"/>
      <c r="P28" s="552"/>
      <c r="Q28" s="551"/>
      <c r="R28" s="134">
        <f t="shared" si="1"/>
        <v>0</v>
      </c>
      <c r="S28" s="551"/>
      <c r="T28" s="552"/>
      <c r="U28" s="551"/>
      <c r="V28" s="552"/>
      <c r="W28" s="62"/>
      <c r="X28" s="117"/>
      <c r="Y28" s="173"/>
      <c r="Z28" s="65"/>
    </row>
    <row r="29" ht="14.25" customHeight="1">
      <c r="B29" s="550"/>
      <c r="C29" s="70"/>
      <c r="L29" s="61"/>
      <c r="M29" s="62"/>
      <c r="N29" s="552"/>
      <c r="O29" s="551"/>
      <c r="P29" s="552"/>
      <c r="Q29" s="551"/>
      <c r="R29" s="134">
        <f t="shared" si="1"/>
        <v>0</v>
      </c>
      <c r="S29" s="551"/>
      <c r="T29" s="552"/>
      <c r="U29" s="551"/>
      <c r="V29" s="552"/>
      <c r="W29" s="62"/>
      <c r="X29" s="117"/>
      <c r="Y29" s="173"/>
      <c r="Z29" s="65"/>
    </row>
    <row r="30" ht="14.25" customHeight="1">
      <c r="B30" s="550" t="s">
        <v>851</v>
      </c>
      <c r="C30" s="70"/>
      <c r="L30" s="61"/>
      <c r="M30" s="62"/>
      <c r="N30" s="552"/>
      <c r="O30" s="551">
        <v>1.0</v>
      </c>
      <c r="P30" s="552">
        <v>2.0</v>
      </c>
      <c r="Q30" s="551">
        <v>1.0</v>
      </c>
      <c r="R30" s="134">
        <f t="shared" si="1"/>
        <v>4</v>
      </c>
      <c r="S30" s="86"/>
      <c r="T30" s="552">
        <v>1.0</v>
      </c>
      <c r="U30" s="551">
        <v>3.0</v>
      </c>
      <c r="V30" s="552">
        <v>4.0</v>
      </c>
      <c r="W30" s="605">
        <f>SUM(S30:V30)</f>
        <v>8</v>
      </c>
      <c r="X30" s="117"/>
      <c r="Y30" s="173"/>
      <c r="Z30" s="65"/>
    </row>
    <row r="31" ht="14.25" customHeight="1">
      <c r="B31" s="113"/>
      <c r="L31" s="61"/>
      <c r="M31" s="62"/>
      <c r="N31" s="63"/>
      <c r="O31" s="62"/>
      <c r="P31" s="63"/>
      <c r="Q31" s="62"/>
      <c r="R31" s="63">
        <f t="shared" si="1"/>
        <v>0</v>
      </c>
      <c r="S31" s="62"/>
      <c r="T31" s="63"/>
      <c r="U31" s="62"/>
      <c r="V31" s="63"/>
      <c r="W31" s="62"/>
      <c r="X31" s="117"/>
      <c r="Y31" s="173"/>
      <c r="Z31" s="65"/>
    </row>
    <row r="32" ht="14.25" customHeight="1">
      <c r="B32" s="60" t="s">
        <v>852</v>
      </c>
      <c r="L32" s="61"/>
      <c r="M32" s="62"/>
      <c r="N32" s="63"/>
      <c r="O32" s="62"/>
      <c r="P32" s="63"/>
      <c r="Q32" s="62"/>
      <c r="R32" s="63">
        <f t="shared" si="1"/>
        <v>0</v>
      </c>
      <c r="S32" s="62"/>
      <c r="T32" s="63"/>
      <c r="U32" s="62"/>
      <c r="V32" s="63"/>
      <c r="W32" s="62"/>
      <c r="X32" s="117"/>
      <c r="Y32" s="173"/>
      <c r="Z32" s="65"/>
    </row>
    <row r="33" ht="14.25" customHeight="1">
      <c r="B33" s="113"/>
      <c r="L33" s="61"/>
      <c r="M33" s="62"/>
      <c r="N33" s="63"/>
      <c r="O33" s="62"/>
      <c r="P33" s="63"/>
      <c r="Q33" s="62"/>
      <c r="R33" s="63">
        <f t="shared" si="1"/>
        <v>0</v>
      </c>
      <c r="S33" s="62"/>
      <c r="T33" s="63"/>
      <c r="U33" s="62"/>
      <c r="V33" s="63"/>
      <c r="W33" s="62"/>
      <c r="X33" s="117"/>
      <c r="Y33" s="173"/>
      <c r="Z33" s="65"/>
    </row>
    <row r="34" ht="14.25" customHeight="1">
      <c r="B34" s="69" t="s">
        <v>1197</v>
      </c>
      <c r="C34" s="70"/>
      <c r="L34" s="61"/>
      <c r="M34" s="62"/>
      <c r="N34" s="552"/>
      <c r="O34" s="62"/>
      <c r="P34" s="552"/>
      <c r="Q34" s="551"/>
      <c r="R34" s="134">
        <f t="shared" si="1"/>
        <v>0</v>
      </c>
      <c r="S34" s="551"/>
      <c r="T34" s="552"/>
      <c r="U34" s="551"/>
      <c r="V34" s="552"/>
      <c r="W34" s="62"/>
      <c r="X34" s="117"/>
      <c r="Y34" s="173"/>
      <c r="Z34" s="65"/>
    </row>
    <row r="35" ht="14.25" customHeight="1">
      <c r="B35" s="100"/>
      <c r="C35" s="70"/>
      <c r="L35" s="61"/>
      <c r="M35" s="62"/>
      <c r="N35" s="552"/>
      <c r="O35" s="62"/>
      <c r="P35" s="552"/>
      <c r="Q35" s="551"/>
      <c r="R35" s="134">
        <f t="shared" si="1"/>
        <v>0</v>
      </c>
      <c r="S35" s="551"/>
      <c r="T35" s="552"/>
      <c r="U35" s="551"/>
      <c r="V35" s="552"/>
      <c r="W35" s="62"/>
      <c r="X35" s="117"/>
      <c r="Y35" s="173"/>
      <c r="Z35" s="65"/>
    </row>
    <row r="36" ht="14.25" customHeight="1">
      <c r="B36" s="69" t="s">
        <v>1198</v>
      </c>
      <c r="C36" s="70"/>
      <c r="L36" s="61"/>
      <c r="M36" s="62"/>
      <c r="N36" s="603"/>
      <c r="O36" s="62"/>
      <c r="P36" s="603"/>
      <c r="Q36" s="604"/>
      <c r="R36" s="134">
        <f t="shared" si="1"/>
        <v>0</v>
      </c>
      <c r="S36" s="604"/>
      <c r="T36" s="603"/>
      <c r="U36" s="604"/>
      <c r="V36" s="603"/>
      <c r="W36" s="62"/>
      <c r="X36" s="117"/>
      <c r="Y36" s="173"/>
      <c r="Z36" s="65"/>
    </row>
    <row r="37" ht="14.25" customHeight="1">
      <c r="B37" s="100" t="s">
        <v>845</v>
      </c>
      <c r="C37" s="126" t="s">
        <v>855</v>
      </c>
      <c r="L37" s="61"/>
      <c r="M37" s="62"/>
      <c r="N37" s="552"/>
      <c r="O37" s="62"/>
      <c r="P37" s="552"/>
      <c r="Q37" s="551"/>
      <c r="R37" s="134">
        <f t="shared" si="1"/>
        <v>0</v>
      </c>
      <c r="S37" s="551"/>
      <c r="T37" s="552"/>
      <c r="U37" s="551"/>
      <c r="V37" s="552"/>
      <c r="W37" s="62"/>
      <c r="X37" s="117"/>
      <c r="Y37" s="173"/>
      <c r="Z37" s="65"/>
    </row>
    <row r="38" ht="14.25" customHeight="1">
      <c r="B38" s="100" t="s">
        <v>847</v>
      </c>
      <c r="C38" s="77" t="s">
        <v>856</v>
      </c>
      <c r="L38" s="61"/>
      <c r="M38" s="62"/>
      <c r="N38" s="552">
        <v>1.0</v>
      </c>
      <c r="O38" s="62"/>
      <c r="P38" s="552"/>
      <c r="Q38" s="551">
        <v>1.0</v>
      </c>
      <c r="R38" s="134">
        <f t="shared" si="1"/>
        <v>2</v>
      </c>
      <c r="S38" s="551">
        <v>1.0</v>
      </c>
      <c r="T38" s="552"/>
      <c r="U38" s="551"/>
      <c r="V38" s="552">
        <v>4.0</v>
      </c>
      <c r="W38" s="605">
        <f>SUM(S38:V38)</f>
        <v>5</v>
      </c>
      <c r="X38" s="117"/>
      <c r="Y38" s="173"/>
      <c r="Z38" s="65"/>
    </row>
    <row r="39" ht="14.25" customHeight="1">
      <c r="B39" s="100" t="s">
        <v>849</v>
      </c>
      <c r="C39" s="77" t="s">
        <v>857</v>
      </c>
      <c r="L39" s="61"/>
      <c r="M39" s="62"/>
      <c r="N39" s="552"/>
      <c r="O39" s="62"/>
      <c r="P39" s="552"/>
      <c r="Q39" s="551"/>
      <c r="R39" s="134">
        <f t="shared" si="1"/>
        <v>0</v>
      </c>
      <c r="S39" s="551"/>
      <c r="T39" s="552"/>
      <c r="U39" s="551"/>
      <c r="V39" s="552"/>
      <c r="W39" s="62"/>
      <c r="X39" s="117"/>
      <c r="Y39" s="173"/>
      <c r="Z39" s="65"/>
    </row>
    <row r="40" ht="14.25" customHeight="1">
      <c r="B40" s="100" t="s">
        <v>858</v>
      </c>
      <c r="C40" s="126" t="s">
        <v>859</v>
      </c>
      <c r="L40" s="61"/>
      <c r="M40" s="62"/>
      <c r="N40" s="552"/>
      <c r="O40" s="62"/>
      <c r="P40" s="552"/>
      <c r="Q40" s="551"/>
      <c r="R40" s="134">
        <f t="shared" si="1"/>
        <v>0</v>
      </c>
      <c r="S40" s="551"/>
      <c r="T40" s="552"/>
      <c r="U40" s="551"/>
      <c r="V40" s="552"/>
      <c r="W40" s="62"/>
      <c r="X40" s="117"/>
      <c r="Y40" s="173"/>
      <c r="Z40" s="65"/>
    </row>
    <row r="41" ht="14.25" customHeight="1">
      <c r="B41" s="100" t="s">
        <v>860</v>
      </c>
      <c r="C41" s="126" t="s">
        <v>861</v>
      </c>
      <c r="L41" s="61"/>
      <c r="M41" s="62"/>
      <c r="N41" s="552"/>
      <c r="O41" s="62"/>
      <c r="P41" s="552">
        <v>1.0</v>
      </c>
      <c r="Q41" s="551"/>
      <c r="R41" s="134">
        <f t="shared" si="1"/>
        <v>1</v>
      </c>
      <c r="S41" s="551"/>
      <c r="T41" s="552"/>
      <c r="U41" s="551">
        <v>1.0</v>
      </c>
      <c r="V41" s="552"/>
      <c r="W41" s="605">
        <f>SUM(S41:V41)</f>
        <v>1</v>
      </c>
      <c r="X41" s="117"/>
      <c r="Y41" s="173"/>
      <c r="Z41" s="65"/>
    </row>
    <row r="42" ht="14.25" customHeight="1">
      <c r="B42" s="113"/>
      <c r="L42" s="61"/>
      <c r="M42" s="62"/>
      <c r="N42" s="63"/>
      <c r="O42" s="62"/>
      <c r="P42" s="63"/>
      <c r="Q42" s="62"/>
      <c r="R42" s="63">
        <f t="shared" si="1"/>
        <v>0</v>
      </c>
      <c r="S42" s="62"/>
      <c r="T42" s="63"/>
      <c r="U42" s="62"/>
      <c r="V42" s="63"/>
      <c r="W42" s="62"/>
      <c r="X42" s="117"/>
      <c r="Y42" s="173"/>
      <c r="Z42" s="65"/>
    </row>
    <row r="43" ht="14.25" customHeight="1">
      <c r="B43" s="60" t="s">
        <v>1185</v>
      </c>
      <c r="L43" s="61"/>
      <c r="M43" s="62"/>
      <c r="N43" s="63"/>
      <c r="O43" s="62"/>
      <c r="P43" s="63"/>
      <c r="Q43" s="62"/>
      <c r="R43" s="63">
        <f t="shared" si="1"/>
        <v>0</v>
      </c>
      <c r="S43" s="62"/>
      <c r="T43" s="63"/>
      <c r="U43" s="62"/>
      <c r="V43" s="63"/>
      <c r="W43" s="62"/>
      <c r="X43" s="117"/>
      <c r="Y43" s="173"/>
      <c r="Z43" s="65"/>
    </row>
    <row r="44" ht="14.25" customHeight="1">
      <c r="B44" s="113"/>
      <c r="L44" s="61"/>
      <c r="M44" s="62"/>
      <c r="N44" s="63"/>
      <c r="O44" s="62"/>
      <c r="P44" s="63"/>
      <c r="Q44" s="62"/>
      <c r="R44" s="63">
        <f t="shared" si="1"/>
        <v>0</v>
      </c>
      <c r="S44" s="62"/>
      <c r="T44" s="63"/>
      <c r="U44" s="62"/>
      <c r="V44" s="63"/>
      <c r="W44" s="62"/>
      <c r="X44" s="117"/>
      <c r="Y44" s="173"/>
      <c r="Z44" s="65"/>
    </row>
    <row r="45" ht="14.25" customHeight="1">
      <c r="B45" s="148" t="s">
        <v>864</v>
      </c>
      <c r="C45" s="144" t="s">
        <v>865</v>
      </c>
      <c r="D45" s="143"/>
      <c r="E45" s="143"/>
      <c r="L45" s="61"/>
      <c r="M45" s="62"/>
      <c r="N45" s="63"/>
      <c r="O45" s="62"/>
      <c r="P45" s="63"/>
      <c r="Q45" s="62"/>
      <c r="R45" s="76" t="s">
        <v>1199</v>
      </c>
      <c r="S45" s="581">
        <v>350.0</v>
      </c>
      <c r="T45" s="606">
        <v>377.0</v>
      </c>
      <c r="U45" s="581">
        <v>220.0</v>
      </c>
      <c r="V45" s="606">
        <v>322.0</v>
      </c>
      <c r="W45" s="62">
        <f t="shared" ref="W45:W100" si="2">SUM(S45:V45)</f>
        <v>1269</v>
      </c>
      <c r="X45" s="117"/>
      <c r="Y45" s="173"/>
      <c r="Z45" s="65"/>
    </row>
    <row r="46" ht="14.25" customHeight="1">
      <c r="B46" s="148"/>
      <c r="C46" s="214" t="s">
        <v>866</v>
      </c>
      <c r="D46" s="144" t="s">
        <v>867</v>
      </c>
      <c r="E46" s="144"/>
      <c r="L46" s="61"/>
      <c r="M46" s="62"/>
      <c r="N46" s="63"/>
      <c r="O46" s="62"/>
      <c r="P46" s="63"/>
      <c r="Q46" s="62"/>
      <c r="R46" s="40"/>
      <c r="S46" s="581">
        <v>66.0</v>
      </c>
      <c r="T46" s="606">
        <v>115.0</v>
      </c>
      <c r="U46" s="581">
        <v>30.0</v>
      </c>
      <c r="V46" s="606">
        <v>120.0</v>
      </c>
      <c r="W46" s="62">
        <f t="shared" si="2"/>
        <v>331</v>
      </c>
      <c r="X46" s="117"/>
      <c r="Y46" s="173"/>
      <c r="Z46" s="65"/>
    </row>
    <row r="47" ht="14.25" customHeight="1">
      <c r="B47" s="148"/>
      <c r="C47" s="70"/>
      <c r="D47" s="77" t="s">
        <v>868</v>
      </c>
      <c r="E47" s="70"/>
      <c r="L47" s="61"/>
      <c r="M47" s="62"/>
      <c r="N47" s="63"/>
      <c r="O47" s="62"/>
      <c r="P47" s="63"/>
      <c r="Q47" s="62"/>
      <c r="R47" s="40"/>
      <c r="S47" s="62">
        <v>1.0</v>
      </c>
      <c r="T47" s="63">
        <v>2.0</v>
      </c>
      <c r="U47" s="62">
        <v>1.0</v>
      </c>
      <c r="V47" s="63">
        <v>3.0</v>
      </c>
      <c r="W47" s="62">
        <f t="shared" si="2"/>
        <v>7</v>
      </c>
      <c r="X47" s="117"/>
      <c r="Y47" s="173"/>
      <c r="Z47" s="65"/>
    </row>
    <row r="48" ht="14.25" customHeight="1">
      <c r="B48" s="148"/>
      <c r="C48" s="70"/>
      <c r="D48" s="77" t="s">
        <v>869</v>
      </c>
      <c r="E48" s="70"/>
      <c r="L48" s="61"/>
      <c r="M48" s="62"/>
      <c r="N48" s="63"/>
      <c r="O48" s="62"/>
      <c r="P48" s="63"/>
      <c r="Q48" s="62"/>
      <c r="R48" s="40"/>
      <c r="S48" s="62">
        <v>7.0</v>
      </c>
      <c r="T48" s="63">
        <v>4.0</v>
      </c>
      <c r="U48" s="62">
        <v>2.0</v>
      </c>
      <c r="V48" s="63">
        <v>11.0</v>
      </c>
      <c r="W48" s="62">
        <f t="shared" si="2"/>
        <v>24</v>
      </c>
      <c r="X48" s="117"/>
      <c r="Y48" s="173"/>
      <c r="Z48" s="65"/>
    </row>
    <row r="49" ht="14.25" customHeight="1">
      <c r="B49" s="148"/>
      <c r="C49" s="70"/>
      <c r="D49" s="77" t="s">
        <v>870</v>
      </c>
      <c r="E49" s="70"/>
      <c r="L49" s="61"/>
      <c r="M49" s="62"/>
      <c r="N49" s="63"/>
      <c r="O49" s="62"/>
      <c r="P49" s="63"/>
      <c r="Q49" s="62"/>
      <c r="R49" s="40"/>
      <c r="S49" s="62">
        <v>12.0</v>
      </c>
      <c r="T49" s="63">
        <v>33.0</v>
      </c>
      <c r="U49" s="62">
        <v>7.0</v>
      </c>
      <c r="V49" s="63">
        <v>33.0</v>
      </c>
      <c r="W49" s="62">
        <f t="shared" si="2"/>
        <v>85</v>
      </c>
      <c r="X49" s="117"/>
      <c r="Y49" s="173"/>
      <c r="Z49" s="65"/>
    </row>
    <row r="50" ht="14.25" customHeight="1">
      <c r="B50" s="148"/>
      <c r="C50" s="70"/>
      <c r="D50" s="77" t="s">
        <v>871</v>
      </c>
      <c r="E50" s="70"/>
      <c r="L50" s="61"/>
      <c r="M50" s="62"/>
      <c r="N50" s="63"/>
      <c r="O50" s="62"/>
      <c r="P50" s="63"/>
      <c r="Q50" s="62"/>
      <c r="R50" s="40"/>
      <c r="S50" s="62">
        <v>25.0</v>
      </c>
      <c r="T50" s="63">
        <v>31.0</v>
      </c>
      <c r="U50" s="62">
        <v>8.0</v>
      </c>
      <c r="V50" s="63">
        <v>48.0</v>
      </c>
      <c r="W50" s="62">
        <f t="shared" si="2"/>
        <v>112</v>
      </c>
      <c r="X50" s="117"/>
      <c r="Y50" s="173"/>
      <c r="Z50" s="65"/>
    </row>
    <row r="51" ht="14.25" customHeight="1">
      <c r="B51" s="148"/>
      <c r="C51" s="70"/>
      <c r="D51" s="77" t="s">
        <v>872</v>
      </c>
      <c r="E51" s="70"/>
      <c r="L51" s="61"/>
      <c r="M51" s="62"/>
      <c r="N51" s="63"/>
      <c r="O51" s="62"/>
      <c r="P51" s="63"/>
      <c r="Q51" s="62"/>
      <c r="R51" s="40"/>
      <c r="S51" s="62">
        <v>21.0</v>
      </c>
      <c r="T51" s="63">
        <v>45.0</v>
      </c>
      <c r="U51" s="62">
        <v>8.0</v>
      </c>
      <c r="V51" s="63">
        <v>14.0</v>
      </c>
      <c r="W51" s="62">
        <f t="shared" si="2"/>
        <v>88</v>
      </c>
      <c r="X51" s="117"/>
      <c r="Y51" s="173"/>
      <c r="Z51" s="65"/>
    </row>
    <row r="52" ht="14.25" customHeight="1">
      <c r="B52" s="148"/>
      <c r="C52" s="70"/>
      <c r="D52" s="77" t="s">
        <v>873</v>
      </c>
      <c r="E52" s="70"/>
      <c r="L52" s="61"/>
      <c r="M52" s="62"/>
      <c r="N52" s="63"/>
      <c r="O52" s="62"/>
      <c r="P52" s="63"/>
      <c r="Q52" s="62"/>
      <c r="R52" s="40"/>
      <c r="S52" s="62">
        <v>0.0</v>
      </c>
      <c r="T52" s="63">
        <v>0.0</v>
      </c>
      <c r="U52" s="62">
        <v>4.0</v>
      </c>
      <c r="V52" s="63">
        <v>11.0</v>
      </c>
      <c r="W52" s="62">
        <f t="shared" si="2"/>
        <v>15</v>
      </c>
      <c r="X52" s="117"/>
      <c r="Y52" s="173"/>
      <c r="Z52" s="65"/>
    </row>
    <row r="53" ht="14.25" customHeight="1">
      <c r="B53" s="148"/>
      <c r="C53" s="144"/>
      <c r="D53" s="144" t="s">
        <v>874</v>
      </c>
      <c r="L53" s="61"/>
      <c r="M53" s="62"/>
      <c r="N53" s="63"/>
      <c r="O53" s="62"/>
      <c r="P53" s="63"/>
      <c r="Q53" s="62"/>
      <c r="R53" s="40"/>
      <c r="S53" s="62">
        <v>1.0</v>
      </c>
      <c r="T53" s="63">
        <v>10.0</v>
      </c>
      <c r="U53" s="62">
        <v>2.0</v>
      </c>
      <c r="V53" s="63">
        <v>7.0</v>
      </c>
      <c r="W53" s="62">
        <f t="shared" si="2"/>
        <v>20</v>
      </c>
      <c r="X53" s="117"/>
      <c r="Y53" s="173"/>
      <c r="Z53" s="65"/>
    </row>
    <row r="54" ht="14.25" customHeight="1">
      <c r="B54" s="148"/>
      <c r="C54" s="144"/>
      <c r="D54" s="144" t="s">
        <v>875</v>
      </c>
      <c r="L54" s="61"/>
      <c r="M54" s="62"/>
      <c r="N54" s="63"/>
      <c r="O54" s="62"/>
      <c r="P54" s="63"/>
      <c r="Q54" s="62"/>
      <c r="R54" s="40"/>
      <c r="S54" s="62">
        <v>4.0</v>
      </c>
      <c r="T54" s="63">
        <v>8.0</v>
      </c>
      <c r="U54" s="62">
        <v>6.0</v>
      </c>
      <c r="V54" s="63">
        <v>16.0</v>
      </c>
      <c r="W54" s="62">
        <f t="shared" si="2"/>
        <v>34</v>
      </c>
      <c r="X54" s="117"/>
      <c r="Y54" s="173"/>
      <c r="Z54" s="65"/>
    </row>
    <row r="55" ht="14.25" customHeight="1">
      <c r="B55" s="148" t="s">
        <v>403</v>
      </c>
      <c r="C55" s="144"/>
      <c r="D55" s="144" t="s">
        <v>876</v>
      </c>
      <c r="L55" s="61"/>
      <c r="M55" s="62"/>
      <c r="N55" s="63"/>
      <c r="O55" s="62"/>
      <c r="P55" s="63"/>
      <c r="Q55" s="62"/>
      <c r="R55" s="40"/>
      <c r="S55" s="62">
        <v>1.0</v>
      </c>
      <c r="T55" s="63">
        <v>9.0</v>
      </c>
      <c r="U55" s="62">
        <v>0.0</v>
      </c>
      <c r="V55" s="63">
        <v>4.0</v>
      </c>
      <c r="W55" s="62">
        <f t="shared" si="2"/>
        <v>14</v>
      </c>
      <c r="X55" s="117"/>
      <c r="Y55" s="173"/>
      <c r="Z55" s="65"/>
    </row>
    <row r="56" ht="14.25" customHeight="1">
      <c r="B56" s="148" t="s">
        <v>403</v>
      </c>
      <c r="C56" s="144"/>
      <c r="D56" s="144" t="s">
        <v>877</v>
      </c>
      <c r="L56" s="61"/>
      <c r="M56" s="62"/>
      <c r="N56" s="63"/>
      <c r="O56" s="62"/>
      <c r="P56" s="63"/>
      <c r="Q56" s="62"/>
      <c r="R56" s="40"/>
      <c r="S56" s="581">
        <v>51.0</v>
      </c>
      <c r="T56" s="606">
        <v>62.0</v>
      </c>
      <c r="U56" s="581">
        <v>12.0</v>
      </c>
      <c r="V56" s="606">
        <v>66.0</v>
      </c>
      <c r="W56" s="62">
        <f t="shared" si="2"/>
        <v>191</v>
      </c>
      <c r="X56" s="117"/>
      <c r="Y56" s="173"/>
      <c r="Z56" s="65"/>
    </row>
    <row r="57" ht="14.25" customHeight="1">
      <c r="B57" s="148"/>
      <c r="C57" s="144"/>
      <c r="D57" s="154" t="s">
        <v>878</v>
      </c>
      <c r="L57" s="61"/>
      <c r="M57" s="62"/>
      <c r="N57" s="63"/>
      <c r="O57" s="62"/>
      <c r="P57" s="63"/>
      <c r="Q57" s="62"/>
      <c r="R57" s="40"/>
      <c r="S57" s="62">
        <v>34.0</v>
      </c>
      <c r="T57" s="63">
        <v>43.0</v>
      </c>
      <c r="U57" s="62">
        <v>9.0</v>
      </c>
      <c r="V57" s="63">
        <v>46.0</v>
      </c>
      <c r="W57" s="62">
        <f t="shared" si="2"/>
        <v>132</v>
      </c>
      <c r="X57" s="117"/>
      <c r="Y57" s="173"/>
      <c r="Z57" s="65"/>
    </row>
    <row r="58" ht="14.25" customHeight="1">
      <c r="B58" s="148"/>
      <c r="C58" s="144"/>
      <c r="D58" s="154" t="s">
        <v>879</v>
      </c>
      <c r="L58" s="61"/>
      <c r="M58" s="62"/>
      <c r="N58" s="63"/>
      <c r="O58" s="62"/>
      <c r="P58" s="63"/>
      <c r="Q58" s="62"/>
      <c r="R58" s="40"/>
      <c r="S58" s="62">
        <v>17.0</v>
      </c>
      <c r="T58" s="63">
        <v>19.0</v>
      </c>
      <c r="U58" s="62">
        <v>3.0</v>
      </c>
      <c r="V58" s="63">
        <v>20.0</v>
      </c>
      <c r="W58" s="62">
        <f t="shared" si="2"/>
        <v>59</v>
      </c>
      <c r="X58" s="117"/>
      <c r="Y58" s="173"/>
      <c r="Z58" s="65"/>
    </row>
    <row r="59" ht="14.25" customHeight="1">
      <c r="B59" s="148"/>
      <c r="C59" s="144"/>
      <c r="D59" s="154" t="s">
        <v>880</v>
      </c>
      <c r="L59" s="61"/>
      <c r="M59" s="62"/>
      <c r="N59" s="63"/>
      <c r="O59" s="62"/>
      <c r="P59" s="63"/>
      <c r="Q59" s="62"/>
      <c r="R59" s="40"/>
      <c r="S59" s="62"/>
      <c r="T59" s="63"/>
      <c r="U59" s="62"/>
      <c r="V59" s="63"/>
      <c r="W59" s="62">
        <f t="shared" si="2"/>
        <v>0</v>
      </c>
      <c r="X59" s="117"/>
      <c r="Y59" s="173"/>
      <c r="Z59" s="65"/>
    </row>
    <row r="60" ht="14.25" customHeight="1">
      <c r="B60" s="148"/>
      <c r="C60" s="144"/>
      <c r="D60" s="144" t="s">
        <v>881</v>
      </c>
      <c r="L60" s="61"/>
      <c r="M60" s="62"/>
      <c r="N60" s="63"/>
      <c r="O60" s="62"/>
      <c r="P60" s="63"/>
      <c r="Q60" s="62"/>
      <c r="R60" s="40"/>
      <c r="S60" s="62"/>
      <c r="T60" s="63"/>
      <c r="U60" s="62">
        <v>1.0</v>
      </c>
      <c r="V60" s="63">
        <v>1.0</v>
      </c>
      <c r="W60" s="62">
        <f t="shared" si="2"/>
        <v>2</v>
      </c>
      <c r="X60" s="117"/>
      <c r="Y60" s="173"/>
      <c r="Z60" s="65"/>
    </row>
    <row r="61" ht="14.25" customHeight="1">
      <c r="B61" s="148"/>
      <c r="C61" s="144"/>
      <c r="D61" s="154" t="s">
        <v>882</v>
      </c>
      <c r="L61" s="61"/>
      <c r="M61" s="62"/>
      <c r="N61" s="63"/>
      <c r="O61" s="62"/>
      <c r="P61" s="63"/>
      <c r="Q61" s="62"/>
      <c r="R61" s="40"/>
      <c r="S61" s="62"/>
      <c r="T61" s="63"/>
      <c r="U61" s="62"/>
      <c r="V61" s="63"/>
      <c r="W61" s="62">
        <f t="shared" si="2"/>
        <v>0</v>
      </c>
      <c r="X61" s="117"/>
      <c r="Y61" s="173"/>
      <c r="Z61" s="65"/>
    </row>
    <row r="62" ht="14.25" customHeight="1">
      <c r="B62" s="148"/>
      <c r="C62" s="144"/>
      <c r="D62" s="154" t="s">
        <v>883</v>
      </c>
      <c r="L62" s="61"/>
      <c r="M62" s="62"/>
      <c r="N62" s="63"/>
      <c r="O62" s="62"/>
      <c r="P62" s="63"/>
      <c r="Q62" s="62"/>
      <c r="R62" s="40"/>
      <c r="S62" s="62"/>
      <c r="T62" s="63"/>
      <c r="U62" s="62"/>
      <c r="V62" s="63"/>
      <c r="W62" s="62">
        <f t="shared" si="2"/>
        <v>0</v>
      </c>
      <c r="X62" s="117"/>
      <c r="Y62" s="173"/>
      <c r="Z62" s="65"/>
    </row>
    <row r="63" ht="14.25" customHeight="1">
      <c r="B63" s="148"/>
      <c r="C63" s="144"/>
      <c r="D63" s="154" t="s">
        <v>884</v>
      </c>
      <c r="L63" s="61"/>
      <c r="M63" s="62"/>
      <c r="N63" s="63"/>
      <c r="O63" s="62"/>
      <c r="P63" s="63"/>
      <c r="Q63" s="62"/>
      <c r="R63" s="40"/>
      <c r="S63" s="62"/>
      <c r="T63" s="63"/>
      <c r="U63" s="62">
        <v>1.0</v>
      </c>
      <c r="V63" s="63">
        <v>1.0</v>
      </c>
      <c r="W63" s="62">
        <f t="shared" si="2"/>
        <v>2</v>
      </c>
      <c r="X63" s="117"/>
      <c r="Y63" s="173"/>
      <c r="Z63" s="65"/>
    </row>
    <row r="64" ht="14.25" customHeight="1">
      <c r="B64" s="148"/>
      <c r="C64" s="144"/>
      <c r="D64" s="154" t="s">
        <v>885</v>
      </c>
      <c r="L64" s="61"/>
      <c r="M64" s="62"/>
      <c r="N64" s="63"/>
      <c r="O64" s="62"/>
      <c r="P64" s="63"/>
      <c r="Q64" s="62"/>
      <c r="R64" s="40"/>
      <c r="S64" s="62"/>
      <c r="T64" s="63"/>
      <c r="U64" s="62"/>
      <c r="V64" s="63"/>
      <c r="W64" s="62">
        <f t="shared" si="2"/>
        <v>0</v>
      </c>
      <c r="X64" s="117"/>
      <c r="Y64" s="173"/>
      <c r="Z64" s="65"/>
    </row>
    <row r="65" ht="14.25" customHeight="1">
      <c r="B65" s="148"/>
      <c r="C65" s="144"/>
      <c r="D65" s="154" t="s">
        <v>886</v>
      </c>
      <c r="L65" s="61"/>
      <c r="M65" s="62"/>
      <c r="N65" s="63"/>
      <c r="O65" s="62"/>
      <c r="P65" s="63"/>
      <c r="Q65" s="62"/>
      <c r="R65" s="40"/>
      <c r="S65" s="62"/>
      <c r="T65" s="63"/>
      <c r="U65" s="62"/>
      <c r="V65" s="63"/>
      <c r="W65" s="62">
        <f t="shared" si="2"/>
        <v>0</v>
      </c>
      <c r="X65" s="117"/>
      <c r="Y65" s="173"/>
      <c r="Z65" s="65"/>
    </row>
    <row r="66" ht="14.25" customHeight="1">
      <c r="B66" s="148"/>
      <c r="C66" s="144"/>
      <c r="D66" s="144" t="s">
        <v>887</v>
      </c>
      <c r="L66" s="61"/>
      <c r="M66" s="62"/>
      <c r="N66" s="63"/>
      <c r="O66" s="62"/>
      <c r="P66" s="63"/>
      <c r="Q66" s="62"/>
      <c r="R66" s="40"/>
      <c r="S66" s="62">
        <v>6.0</v>
      </c>
      <c r="T66" s="63">
        <v>8.0</v>
      </c>
      <c r="U66" s="62">
        <v>2.0</v>
      </c>
      <c r="V66" s="63">
        <v>7.0</v>
      </c>
      <c r="W66" s="62">
        <f t="shared" si="2"/>
        <v>23</v>
      </c>
      <c r="X66" s="117"/>
      <c r="Y66" s="173"/>
      <c r="Z66" s="65"/>
    </row>
    <row r="67" ht="14.25" customHeight="1">
      <c r="B67" s="148"/>
      <c r="C67" s="144"/>
      <c r="D67" s="144" t="s">
        <v>888</v>
      </c>
      <c r="L67" s="61"/>
      <c r="M67" s="62"/>
      <c r="N67" s="63"/>
      <c r="O67" s="62"/>
      <c r="P67" s="63"/>
      <c r="Q67" s="62"/>
      <c r="R67" s="40"/>
      <c r="S67" s="62"/>
      <c r="T67" s="63"/>
      <c r="U67" s="62"/>
      <c r="V67" s="63"/>
      <c r="W67" s="62">
        <f t="shared" si="2"/>
        <v>0</v>
      </c>
      <c r="X67" s="117"/>
      <c r="Y67" s="173"/>
      <c r="Z67" s="65"/>
    </row>
    <row r="68" ht="14.25" customHeight="1">
      <c r="B68" s="148"/>
      <c r="C68" s="144"/>
      <c r="D68" s="154" t="s">
        <v>889</v>
      </c>
      <c r="L68" s="61"/>
      <c r="M68" s="62"/>
      <c r="N68" s="63"/>
      <c r="O68" s="62"/>
      <c r="P68" s="63"/>
      <c r="Q68" s="62"/>
      <c r="R68" s="40"/>
      <c r="S68" s="62"/>
      <c r="T68" s="63"/>
      <c r="U68" s="62"/>
      <c r="V68" s="63"/>
      <c r="W68" s="62">
        <f t="shared" si="2"/>
        <v>0</v>
      </c>
      <c r="X68" s="117"/>
      <c r="Y68" s="173"/>
      <c r="Z68" s="65"/>
    </row>
    <row r="69" ht="14.25" customHeight="1">
      <c r="B69" s="148"/>
      <c r="C69" s="144"/>
      <c r="D69" s="154" t="s">
        <v>890</v>
      </c>
      <c r="L69" s="61"/>
      <c r="M69" s="62"/>
      <c r="N69" s="63"/>
      <c r="O69" s="62"/>
      <c r="P69" s="63"/>
      <c r="Q69" s="62"/>
      <c r="R69" s="40"/>
      <c r="S69" s="62"/>
      <c r="T69" s="63"/>
      <c r="U69" s="62"/>
      <c r="V69" s="63"/>
      <c r="W69" s="62">
        <f t="shared" si="2"/>
        <v>0</v>
      </c>
      <c r="X69" s="117"/>
      <c r="Y69" s="173"/>
      <c r="Z69" s="65"/>
    </row>
    <row r="70" ht="14.25" customHeight="1">
      <c r="B70" s="148"/>
      <c r="C70" s="144"/>
      <c r="D70" s="144" t="s">
        <v>891</v>
      </c>
      <c r="L70" s="61"/>
      <c r="M70" s="62"/>
      <c r="N70" s="63"/>
      <c r="O70" s="62"/>
      <c r="P70" s="63"/>
      <c r="Q70" s="62"/>
      <c r="R70" s="40"/>
      <c r="S70" s="62">
        <v>1.0</v>
      </c>
      <c r="T70" s="63"/>
      <c r="U70" s="62"/>
      <c r="V70" s="63"/>
      <c r="W70" s="62">
        <f t="shared" si="2"/>
        <v>1</v>
      </c>
      <c r="X70" s="117"/>
      <c r="Y70" s="173"/>
      <c r="Z70" s="65"/>
    </row>
    <row r="71" ht="14.25" customHeight="1">
      <c r="B71" s="148"/>
      <c r="C71" s="144"/>
      <c r="D71" s="144" t="s">
        <v>892</v>
      </c>
      <c r="L71" s="61"/>
      <c r="M71" s="62"/>
      <c r="N71" s="63"/>
      <c r="O71" s="62"/>
      <c r="P71" s="63"/>
      <c r="Q71" s="62"/>
      <c r="R71" s="40"/>
      <c r="S71" s="62"/>
      <c r="T71" s="63">
        <v>7.0</v>
      </c>
      <c r="U71" s="62">
        <v>6.0</v>
      </c>
      <c r="V71" s="63">
        <v>15.0</v>
      </c>
      <c r="W71" s="62">
        <f t="shared" si="2"/>
        <v>28</v>
      </c>
      <c r="X71" s="117"/>
      <c r="Y71" s="173"/>
      <c r="Z71" s="65"/>
    </row>
    <row r="72" ht="14.25" customHeight="1">
      <c r="B72" s="148"/>
      <c r="C72" s="144"/>
      <c r="D72" s="144" t="s">
        <v>893</v>
      </c>
      <c r="L72" s="61"/>
      <c r="M72" s="62"/>
      <c r="N72" s="63"/>
      <c r="O72" s="62"/>
      <c r="P72" s="63"/>
      <c r="Q72" s="62"/>
      <c r="R72" s="40"/>
      <c r="S72" s="62">
        <v>1.0</v>
      </c>
      <c r="T72" s="63">
        <v>1.0</v>
      </c>
      <c r="U72" s="62"/>
      <c r="V72" s="63"/>
      <c r="W72" s="62">
        <f t="shared" si="2"/>
        <v>2</v>
      </c>
      <c r="X72" s="117"/>
      <c r="Y72" s="173"/>
      <c r="Z72" s="65"/>
    </row>
    <row r="73" ht="14.25" customHeight="1">
      <c r="B73" s="148"/>
      <c r="C73" s="144"/>
      <c r="D73" s="183" t="s">
        <v>894</v>
      </c>
      <c r="E73" s="144"/>
      <c r="L73" s="61"/>
      <c r="M73" s="62"/>
      <c r="N73" s="63"/>
      <c r="O73" s="62"/>
      <c r="P73" s="63"/>
      <c r="Q73" s="62"/>
      <c r="R73" s="40"/>
      <c r="S73" s="62"/>
      <c r="T73" s="63"/>
      <c r="U73" s="62"/>
      <c r="V73" s="63"/>
      <c r="W73" s="62">
        <f t="shared" si="2"/>
        <v>0</v>
      </c>
      <c r="X73" s="117"/>
      <c r="Y73" s="173"/>
      <c r="Z73" s="65"/>
    </row>
    <row r="74" ht="14.25" customHeight="1">
      <c r="B74" s="148"/>
      <c r="C74" s="144"/>
      <c r="D74" s="183" t="s">
        <v>895</v>
      </c>
      <c r="E74" s="144"/>
      <c r="L74" s="61"/>
      <c r="M74" s="62"/>
      <c r="N74" s="63"/>
      <c r="O74" s="62"/>
      <c r="P74" s="63"/>
      <c r="Q74" s="62"/>
      <c r="R74" s="40"/>
      <c r="S74" s="62"/>
      <c r="T74" s="63"/>
      <c r="U74" s="62"/>
      <c r="V74" s="63"/>
      <c r="W74" s="62">
        <f t="shared" si="2"/>
        <v>0</v>
      </c>
      <c r="X74" s="117"/>
      <c r="Y74" s="173"/>
      <c r="Z74" s="65"/>
    </row>
    <row r="75" ht="14.25" customHeight="1">
      <c r="B75" s="148"/>
      <c r="C75" s="144"/>
      <c r="D75" s="183" t="s">
        <v>896</v>
      </c>
      <c r="E75" s="144"/>
      <c r="L75" s="61"/>
      <c r="M75" s="62"/>
      <c r="N75" s="63"/>
      <c r="O75" s="62"/>
      <c r="P75" s="63"/>
      <c r="Q75" s="62"/>
      <c r="R75" s="40"/>
      <c r="S75" s="62"/>
      <c r="T75" s="63"/>
      <c r="U75" s="62"/>
      <c r="V75" s="63"/>
      <c r="W75" s="62">
        <f t="shared" si="2"/>
        <v>0</v>
      </c>
      <c r="X75" s="117"/>
      <c r="Y75" s="173"/>
      <c r="Z75" s="65"/>
    </row>
    <row r="76" ht="14.25" customHeight="1">
      <c r="B76" s="148"/>
      <c r="C76" s="144"/>
      <c r="D76" s="144" t="s">
        <v>897</v>
      </c>
      <c r="L76" s="61"/>
      <c r="M76" s="62"/>
      <c r="N76" s="63"/>
      <c r="O76" s="62"/>
      <c r="P76" s="63"/>
      <c r="Q76" s="62"/>
      <c r="R76" s="40"/>
      <c r="S76" s="62"/>
      <c r="T76" s="63">
        <v>4.0</v>
      </c>
      <c r="U76" s="62"/>
      <c r="V76" s="63">
        <v>2.0</v>
      </c>
      <c r="W76" s="62">
        <f t="shared" si="2"/>
        <v>6</v>
      </c>
      <c r="X76" s="117"/>
      <c r="Y76" s="173"/>
      <c r="Z76" s="65"/>
    </row>
    <row r="77" ht="14.25" customHeight="1">
      <c r="B77" s="148"/>
      <c r="C77" s="144"/>
      <c r="D77" s="144" t="s">
        <v>898</v>
      </c>
      <c r="L77" s="61"/>
      <c r="M77" s="62"/>
      <c r="N77" s="63"/>
      <c r="O77" s="62"/>
      <c r="P77" s="63"/>
      <c r="Q77" s="62"/>
      <c r="R77" s="40"/>
      <c r="S77" s="62"/>
      <c r="T77" s="63"/>
      <c r="U77" s="62"/>
      <c r="V77" s="63"/>
      <c r="W77" s="62">
        <f t="shared" si="2"/>
        <v>0</v>
      </c>
      <c r="X77" s="117"/>
      <c r="Y77" s="173"/>
      <c r="Z77" s="65"/>
    </row>
    <row r="78" ht="14.25" customHeight="1">
      <c r="B78" s="148"/>
      <c r="C78" s="144"/>
      <c r="D78" s="144" t="s">
        <v>899</v>
      </c>
      <c r="L78" s="61"/>
      <c r="M78" s="62"/>
      <c r="N78" s="63"/>
      <c r="O78" s="62"/>
      <c r="P78" s="63"/>
      <c r="Q78" s="62"/>
      <c r="R78" s="40"/>
      <c r="S78" s="62"/>
      <c r="T78" s="63"/>
      <c r="U78" s="62"/>
      <c r="V78" s="63"/>
      <c r="W78" s="62">
        <f t="shared" si="2"/>
        <v>0</v>
      </c>
      <c r="X78" s="117"/>
      <c r="Y78" s="173"/>
      <c r="Z78" s="65"/>
    </row>
    <row r="79" ht="14.25" customHeight="1">
      <c r="B79" s="148"/>
      <c r="C79" s="144"/>
      <c r="D79" s="144" t="s">
        <v>900</v>
      </c>
      <c r="L79" s="61"/>
      <c r="M79" s="62"/>
      <c r="N79" s="63"/>
      <c r="O79" s="62"/>
      <c r="P79" s="63"/>
      <c r="Q79" s="62"/>
      <c r="R79" s="40"/>
      <c r="S79" s="62"/>
      <c r="T79" s="63">
        <v>1.0</v>
      </c>
      <c r="U79" s="62">
        <v>1.0</v>
      </c>
      <c r="V79" s="63">
        <v>4.0</v>
      </c>
      <c r="W79" s="62">
        <f t="shared" si="2"/>
        <v>6</v>
      </c>
      <c r="X79" s="117"/>
      <c r="Y79" s="173"/>
      <c r="Z79" s="65"/>
    </row>
    <row r="80" ht="14.25" customHeight="1">
      <c r="B80" s="148"/>
      <c r="C80" s="70"/>
      <c r="D80" s="154" t="s">
        <v>901</v>
      </c>
      <c r="L80" s="61"/>
      <c r="M80" s="62"/>
      <c r="N80" s="63"/>
      <c r="O80" s="62"/>
      <c r="P80" s="63"/>
      <c r="Q80" s="62"/>
      <c r="R80" s="40"/>
      <c r="S80" s="62"/>
      <c r="T80" s="63"/>
      <c r="U80" s="62"/>
      <c r="V80" s="63"/>
      <c r="W80" s="62">
        <f t="shared" si="2"/>
        <v>0</v>
      </c>
      <c r="X80" s="117"/>
      <c r="Y80" s="173"/>
      <c r="Z80" s="65"/>
    </row>
    <row r="81" ht="14.25" customHeight="1">
      <c r="B81" s="148"/>
      <c r="C81" s="70"/>
      <c r="D81" s="154" t="s">
        <v>902</v>
      </c>
      <c r="L81" s="61"/>
      <c r="M81" s="62"/>
      <c r="N81" s="63"/>
      <c r="O81" s="62"/>
      <c r="P81" s="63"/>
      <c r="Q81" s="62"/>
      <c r="R81" s="40"/>
      <c r="S81" s="62"/>
      <c r="T81" s="63"/>
      <c r="U81" s="62"/>
      <c r="V81" s="63"/>
      <c r="W81" s="62">
        <f t="shared" si="2"/>
        <v>0</v>
      </c>
      <c r="X81" s="117"/>
      <c r="Y81" s="173"/>
      <c r="Z81" s="65"/>
    </row>
    <row r="82" ht="14.25" customHeight="1">
      <c r="B82" s="148"/>
      <c r="C82" s="70"/>
      <c r="D82" s="154" t="s">
        <v>903</v>
      </c>
      <c r="L82" s="61"/>
      <c r="M82" s="62"/>
      <c r="N82" s="63"/>
      <c r="O82" s="62"/>
      <c r="P82" s="63"/>
      <c r="Q82" s="62"/>
      <c r="R82" s="40"/>
      <c r="S82" s="62"/>
      <c r="T82" s="63"/>
      <c r="U82" s="62"/>
      <c r="V82" s="63"/>
      <c r="W82" s="62">
        <f t="shared" si="2"/>
        <v>0</v>
      </c>
      <c r="X82" s="117"/>
      <c r="Y82" s="173"/>
      <c r="Z82" s="65"/>
    </row>
    <row r="83" ht="14.25" customHeight="1">
      <c r="B83" s="148"/>
      <c r="C83" s="70"/>
      <c r="D83" s="154" t="s">
        <v>904</v>
      </c>
      <c r="L83" s="61"/>
      <c r="M83" s="62"/>
      <c r="N83" s="63"/>
      <c r="O83" s="62"/>
      <c r="P83" s="63"/>
      <c r="Q83" s="62"/>
      <c r="R83" s="40"/>
      <c r="S83" s="62"/>
      <c r="T83" s="63"/>
      <c r="U83" s="62"/>
      <c r="V83" s="63"/>
      <c r="W83" s="62">
        <f t="shared" si="2"/>
        <v>0</v>
      </c>
      <c r="X83" s="117"/>
      <c r="Y83" s="173"/>
      <c r="Z83" s="65"/>
    </row>
    <row r="84" ht="14.25" customHeight="1">
      <c r="B84" s="148"/>
      <c r="C84" s="70"/>
      <c r="D84" s="154" t="s">
        <v>905</v>
      </c>
      <c r="L84" s="61"/>
      <c r="M84" s="62"/>
      <c r="N84" s="63"/>
      <c r="O84" s="62"/>
      <c r="P84" s="63"/>
      <c r="Q84" s="62"/>
      <c r="R84" s="90"/>
      <c r="S84" s="62"/>
      <c r="T84" s="63"/>
      <c r="U84" s="62"/>
      <c r="V84" s="63"/>
      <c r="W84" s="62">
        <f t="shared" si="2"/>
        <v>0</v>
      </c>
      <c r="X84" s="117"/>
      <c r="Y84" s="173"/>
      <c r="Z84" s="65"/>
    </row>
    <row r="85" ht="15.0" customHeight="1">
      <c r="B85" s="148"/>
      <c r="C85" s="214" t="s">
        <v>906</v>
      </c>
      <c r="D85" s="168" t="s">
        <v>907</v>
      </c>
      <c r="E85" s="168"/>
      <c r="L85" s="61"/>
      <c r="M85" s="62"/>
      <c r="N85" s="63"/>
      <c r="O85" s="62"/>
      <c r="P85" s="63"/>
      <c r="Q85" s="62"/>
      <c r="R85" s="63"/>
      <c r="S85" s="62"/>
      <c r="T85" s="63"/>
      <c r="U85" s="62"/>
      <c r="V85" s="63"/>
      <c r="W85" s="62">
        <f t="shared" si="2"/>
        <v>0</v>
      </c>
      <c r="X85" s="117"/>
      <c r="Y85" s="173"/>
      <c r="Z85" s="65"/>
    </row>
    <row r="86" ht="15.0" customHeight="1">
      <c r="B86" s="148"/>
      <c r="C86" s="144"/>
      <c r="D86" s="70" t="s">
        <v>845</v>
      </c>
      <c r="E86" s="91" t="s">
        <v>908</v>
      </c>
      <c r="F86" s="70"/>
      <c r="L86" s="61"/>
      <c r="M86" s="62"/>
      <c r="N86" s="63"/>
      <c r="O86" s="62"/>
      <c r="P86" s="63"/>
      <c r="Q86" s="62"/>
      <c r="R86" s="63"/>
      <c r="S86" s="62">
        <v>0.0</v>
      </c>
      <c r="T86" s="63">
        <v>3.0</v>
      </c>
      <c r="U86" s="62">
        <v>0.0</v>
      </c>
      <c r="V86" s="63">
        <v>0.0</v>
      </c>
      <c r="W86" s="62">
        <f t="shared" si="2"/>
        <v>3</v>
      </c>
      <c r="X86" s="117"/>
      <c r="Y86" s="173"/>
      <c r="Z86" s="65"/>
    </row>
    <row r="87" ht="15.0" customHeight="1">
      <c r="B87" s="148"/>
      <c r="C87" s="144"/>
      <c r="D87" s="70" t="s">
        <v>847</v>
      </c>
      <c r="E87" s="91" t="s">
        <v>909</v>
      </c>
      <c r="F87" s="70"/>
      <c r="L87" s="61"/>
      <c r="M87" s="62"/>
      <c r="N87" s="63"/>
      <c r="O87" s="62"/>
      <c r="P87" s="63"/>
      <c r="Q87" s="62"/>
      <c r="R87" s="63"/>
      <c r="S87" s="62">
        <v>0.0</v>
      </c>
      <c r="T87" s="63">
        <v>0.0</v>
      </c>
      <c r="U87" s="62">
        <v>0.0</v>
      </c>
      <c r="V87" s="63">
        <v>0.0</v>
      </c>
      <c r="W87" s="62">
        <f t="shared" si="2"/>
        <v>0</v>
      </c>
      <c r="X87" s="117"/>
      <c r="Y87" s="173"/>
      <c r="Z87" s="65"/>
    </row>
    <row r="88" ht="15.0" customHeight="1">
      <c r="B88" s="148"/>
      <c r="C88" s="144"/>
      <c r="D88" s="70" t="s">
        <v>849</v>
      </c>
      <c r="E88" s="91" t="s">
        <v>910</v>
      </c>
      <c r="F88" s="70"/>
      <c r="L88" s="61"/>
      <c r="M88" s="62"/>
      <c r="N88" s="63"/>
      <c r="O88" s="62"/>
      <c r="P88" s="63"/>
      <c r="Q88" s="62"/>
      <c r="R88" s="63"/>
      <c r="S88" s="62">
        <v>21.0</v>
      </c>
      <c r="T88" s="63">
        <v>4.0</v>
      </c>
      <c r="U88" s="62">
        <v>7.0</v>
      </c>
      <c r="V88" s="63">
        <v>15.0</v>
      </c>
      <c r="W88" s="62">
        <f t="shared" si="2"/>
        <v>47</v>
      </c>
      <c r="X88" s="117"/>
      <c r="Y88" s="173"/>
      <c r="Z88" s="65"/>
    </row>
    <row r="89" ht="15.0" customHeight="1">
      <c r="B89" s="148"/>
      <c r="C89" s="144"/>
      <c r="D89" s="70" t="s">
        <v>858</v>
      </c>
      <c r="E89" s="70" t="s">
        <v>911</v>
      </c>
      <c r="F89" s="70"/>
      <c r="L89" s="61"/>
      <c r="M89" s="62"/>
      <c r="N89" s="63"/>
      <c r="O89" s="62"/>
      <c r="P89" s="63"/>
      <c r="Q89" s="62"/>
      <c r="R89" s="63"/>
      <c r="S89" s="62">
        <v>30.0</v>
      </c>
      <c r="T89" s="63">
        <v>14.0</v>
      </c>
      <c r="U89" s="62">
        <v>2.0</v>
      </c>
      <c r="V89" s="63">
        <v>13.0</v>
      </c>
      <c r="W89" s="62">
        <f t="shared" si="2"/>
        <v>59</v>
      </c>
      <c r="X89" s="117"/>
      <c r="Y89" s="173"/>
      <c r="Z89" s="65"/>
    </row>
    <row r="90" ht="15.0" customHeight="1">
      <c r="B90" s="148"/>
      <c r="C90" s="144"/>
      <c r="D90" s="70" t="s">
        <v>860</v>
      </c>
      <c r="E90" s="70" t="s">
        <v>912</v>
      </c>
      <c r="F90" s="70"/>
      <c r="L90" s="61"/>
      <c r="M90" s="62"/>
      <c r="N90" s="63"/>
      <c r="O90" s="62"/>
      <c r="P90" s="63"/>
      <c r="Q90" s="62"/>
      <c r="R90" s="63"/>
      <c r="S90" s="62">
        <v>1.0</v>
      </c>
      <c r="T90" s="63">
        <v>2.0</v>
      </c>
      <c r="U90" s="62">
        <v>0.0</v>
      </c>
      <c r="V90" s="63">
        <v>0.0</v>
      </c>
      <c r="W90" s="62">
        <f t="shared" si="2"/>
        <v>3</v>
      </c>
      <c r="X90" s="117"/>
      <c r="Y90" s="173"/>
      <c r="Z90" s="65"/>
    </row>
    <row r="91" ht="15.0" customHeight="1">
      <c r="B91" s="148"/>
      <c r="C91" s="144"/>
      <c r="D91" s="70" t="s">
        <v>862</v>
      </c>
      <c r="E91" s="70" t="s">
        <v>913</v>
      </c>
      <c r="F91" s="70"/>
      <c r="L91" s="61"/>
      <c r="M91" s="62"/>
      <c r="N91" s="63"/>
      <c r="O91" s="62"/>
      <c r="P91" s="63"/>
      <c r="Q91" s="62"/>
      <c r="R91" s="63"/>
      <c r="S91" s="62"/>
      <c r="T91" s="63"/>
      <c r="U91" s="62"/>
      <c r="V91" s="63"/>
      <c r="W91" s="62">
        <f t="shared" si="2"/>
        <v>0</v>
      </c>
      <c r="X91" s="117"/>
      <c r="Y91" s="173"/>
      <c r="Z91" s="65"/>
    </row>
    <row r="92" ht="15.0" customHeight="1">
      <c r="B92" s="148"/>
      <c r="C92" s="144"/>
      <c r="D92" s="70" t="s">
        <v>914</v>
      </c>
      <c r="E92" s="70" t="s">
        <v>915</v>
      </c>
      <c r="F92" s="70"/>
      <c r="L92" s="61"/>
      <c r="M92" s="62"/>
      <c r="N92" s="63"/>
      <c r="O92" s="62"/>
      <c r="P92" s="63"/>
      <c r="Q92" s="62"/>
      <c r="R92" s="63"/>
      <c r="S92" s="62">
        <v>51.0</v>
      </c>
      <c r="T92" s="63">
        <v>27.0</v>
      </c>
      <c r="U92" s="62">
        <v>12.0</v>
      </c>
      <c r="V92" s="63">
        <v>47.0</v>
      </c>
      <c r="W92" s="62">
        <f t="shared" si="2"/>
        <v>137</v>
      </c>
      <c r="X92" s="117"/>
      <c r="Y92" s="173"/>
      <c r="Z92" s="65"/>
    </row>
    <row r="93" ht="15.0" customHeight="1">
      <c r="B93" s="148"/>
      <c r="C93" s="144"/>
      <c r="D93" s="70" t="s">
        <v>916</v>
      </c>
      <c r="E93" s="70" t="s">
        <v>917</v>
      </c>
      <c r="F93" s="70"/>
      <c r="L93" s="61"/>
      <c r="M93" s="62"/>
      <c r="N93" s="63"/>
      <c r="O93" s="62"/>
      <c r="P93" s="63"/>
      <c r="Q93" s="62"/>
      <c r="R93" s="63"/>
      <c r="S93" s="62">
        <v>18.0</v>
      </c>
      <c r="T93" s="63">
        <v>67.0</v>
      </c>
      <c r="U93" s="62">
        <v>11.0</v>
      </c>
      <c r="V93" s="63">
        <v>20.0</v>
      </c>
      <c r="W93" s="62">
        <f t="shared" si="2"/>
        <v>116</v>
      </c>
      <c r="X93" s="117"/>
      <c r="Y93" s="173"/>
      <c r="Z93" s="65"/>
    </row>
    <row r="94" ht="15.0" customHeight="1">
      <c r="B94" s="148"/>
      <c r="C94" s="144"/>
      <c r="D94" s="70" t="s">
        <v>918</v>
      </c>
      <c r="E94" s="70" t="s">
        <v>919</v>
      </c>
      <c r="F94" s="70"/>
      <c r="L94" s="61"/>
      <c r="M94" s="62"/>
      <c r="N94" s="63"/>
      <c r="O94" s="62"/>
      <c r="P94" s="63"/>
      <c r="Q94" s="62"/>
      <c r="R94" s="63"/>
      <c r="S94" s="62">
        <v>3.0</v>
      </c>
      <c r="T94" s="63">
        <v>0.0</v>
      </c>
      <c r="U94" s="62">
        <v>0.0</v>
      </c>
      <c r="V94" s="63">
        <v>2.0</v>
      </c>
      <c r="W94" s="62">
        <f t="shared" si="2"/>
        <v>5</v>
      </c>
      <c r="X94" s="117"/>
      <c r="Y94" s="173"/>
      <c r="Z94" s="65"/>
    </row>
    <row r="95" ht="14.25" customHeight="1">
      <c r="B95" s="148"/>
      <c r="C95" s="70"/>
      <c r="D95" s="70"/>
      <c r="E95" s="77" t="s">
        <v>920</v>
      </c>
      <c r="F95" s="70"/>
      <c r="L95" s="61"/>
      <c r="M95" s="62"/>
      <c r="N95" s="63"/>
      <c r="O95" s="62"/>
      <c r="P95" s="63"/>
      <c r="Q95" s="62"/>
      <c r="R95" s="63"/>
      <c r="S95" s="62">
        <v>1.0</v>
      </c>
      <c r="T95" s="63">
        <v>0.0</v>
      </c>
      <c r="U95" s="62">
        <v>0.0</v>
      </c>
      <c r="V95" s="63">
        <v>0.0</v>
      </c>
      <c r="W95" s="62">
        <f t="shared" si="2"/>
        <v>1</v>
      </c>
      <c r="X95" s="117"/>
      <c r="Y95" s="173"/>
      <c r="Z95" s="65"/>
    </row>
    <row r="96" ht="14.25" customHeight="1">
      <c r="B96" s="148"/>
      <c r="C96" s="70"/>
      <c r="D96" s="70"/>
      <c r="E96" s="77" t="s">
        <v>921</v>
      </c>
      <c r="F96" s="70"/>
      <c r="L96" s="61"/>
      <c r="M96" s="62"/>
      <c r="N96" s="63"/>
      <c r="O96" s="62"/>
      <c r="P96" s="63"/>
      <c r="Q96" s="62"/>
      <c r="R96" s="63"/>
      <c r="S96" s="62">
        <v>2.0</v>
      </c>
      <c r="T96" s="63">
        <v>0.0</v>
      </c>
      <c r="U96" s="62">
        <v>0.0</v>
      </c>
      <c r="V96" s="63">
        <v>0.0</v>
      </c>
      <c r="W96" s="62">
        <f t="shared" si="2"/>
        <v>2</v>
      </c>
      <c r="X96" s="117"/>
      <c r="Y96" s="173"/>
      <c r="Z96" s="65"/>
    </row>
    <row r="97" ht="14.25" customHeight="1">
      <c r="B97" s="148"/>
      <c r="C97" s="70"/>
      <c r="D97" s="70"/>
      <c r="E97" s="77" t="s">
        <v>922</v>
      </c>
      <c r="F97" s="70"/>
      <c r="L97" s="61"/>
      <c r="M97" s="62"/>
      <c r="N97" s="63"/>
      <c r="O97" s="62"/>
      <c r="P97" s="63"/>
      <c r="Q97" s="62"/>
      <c r="R97" s="63"/>
      <c r="S97" s="62">
        <v>0.0</v>
      </c>
      <c r="T97" s="63">
        <v>0.0</v>
      </c>
      <c r="U97" s="62">
        <v>0.0</v>
      </c>
      <c r="V97" s="63">
        <v>2.0</v>
      </c>
      <c r="W97" s="62">
        <f t="shared" si="2"/>
        <v>2</v>
      </c>
      <c r="X97" s="117"/>
      <c r="Y97" s="173"/>
      <c r="Z97" s="65"/>
    </row>
    <row r="98" ht="14.25" customHeight="1">
      <c r="B98" s="148"/>
      <c r="C98" s="70"/>
      <c r="D98" s="70"/>
      <c r="E98" s="70"/>
      <c r="L98" s="61"/>
      <c r="M98" s="62"/>
      <c r="N98" s="63"/>
      <c r="O98" s="62"/>
      <c r="P98" s="63"/>
      <c r="Q98" s="62"/>
      <c r="R98" s="63"/>
      <c r="S98" s="62"/>
      <c r="T98" s="63"/>
      <c r="U98" s="62"/>
      <c r="V98" s="63"/>
      <c r="W98" s="62">
        <f t="shared" si="2"/>
        <v>0</v>
      </c>
      <c r="X98" s="117"/>
      <c r="Y98" s="173"/>
      <c r="Z98" s="65"/>
    </row>
    <row r="99" ht="14.25" customHeight="1">
      <c r="B99" s="148"/>
      <c r="C99" s="70"/>
      <c r="D99" s="70"/>
      <c r="E99" s="70"/>
      <c r="L99" s="61"/>
      <c r="M99" s="62"/>
      <c r="N99" s="63"/>
      <c r="O99" s="62"/>
      <c r="P99" s="63"/>
      <c r="Q99" s="62"/>
      <c r="R99" s="63"/>
      <c r="S99" s="62"/>
      <c r="T99" s="63"/>
      <c r="U99" s="62"/>
      <c r="V99" s="63"/>
      <c r="W99" s="62">
        <f t="shared" si="2"/>
        <v>0</v>
      </c>
      <c r="X99" s="117"/>
      <c r="Y99" s="173"/>
      <c r="Z99" s="65"/>
    </row>
    <row r="100" ht="14.25" customHeight="1">
      <c r="B100" s="148"/>
      <c r="C100" s="214" t="s">
        <v>924</v>
      </c>
      <c r="D100" s="144" t="s">
        <v>925</v>
      </c>
      <c r="E100" s="183"/>
      <c r="L100" s="61"/>
      <c r="M100" s="62"/>
      <c r="N100" s="63"/>
      <c r="O100" s="62"/>
      <c r="P100" s="63"/>
      <c r="Q100" s="62"/>
      <c r="R100" s="63">
        <v>500.0</v>
      </c>
      <c r="S100" s="62">
        <v>280.0</v>
      </c>
      <c r="T100" s="63">
        <v>256.0</v>
      </c>
      <c r="U100" s="62">
        <v>190.0</v>
      </c>
      <c r="V100" s="63">
        <v>200.0</v>
      </c>
      <c r="W100" s="62">
        <f t="shared" si="2"/>
        <v>926</v>
      </c>
      <c r="X100" s="117"/>
      <c r="Y100" s="173"/>
      <c r="Z100" s="65"/>
    </row>
    <row r="101" ht="15.0" customHeight="1">
      <c r="B101" s="148" t="s">
        <v>403</v>
      </c>
      <c r="C101" s="554" t="s">
        <v>926</v>
      </c>
      <c r="D101" s="186" t="s">
        <v>927</v>
      </c>
      <c r="E101" s="186"/>
      <c r="L101" s="61"/>
      <c r="M101" s="62"/>
      <c r="N101" s="63"/>
      <c r="O101" s="62"/>
      <c r="P101" s="63"/>
      <c r="Q101" s="62"/>
      <c r="R101" s="63"/>
      <c r="S101" s="62"/>
      <c r="T101" s="63"/>
      <c r="U101" s="62"/>
      <c r="V101" s="63"/>
      <c r="W101" s="62"/>
      <c r="X101" s="117"/>
      <c r="Y101" s="173"/>
      <c r="Z101" s="65"/>
    </row>
    <row r="102" ht="14.25" customHeight="1">
      <c r="B102" s="148"/>
      <c r="C102" s="144"/>
      <c r="D102" s="183" t="s">
        <v>928</v>
      </c>
      <c r="L102" s="61"/>
      <c r="M102" s="62"/>
      <c r="N102" s="63"/>
      <c r="O102" s="62"/>
      <c r="P102" s="63"/>
      <c r="Q102" s="62"/>
      <c r="R102" s="63" t="s">
        <v>131</v>
      </c>
      <c r="S102" s="62"/>
      <c r="T102" s="63"/>
      <c r="U102" s="62"/>
      <c r="V102" s="63"/>
      <c r="W102" s="62"/>
      <c r="X102" s="117"/>
      <c r="Y102" s="173"/>
      <c r="Z102" s="65"/>
    </row>
    <row r="103" ht="14.25" customHeight="1">
      <c r="B103" s="148"/>
      <c r="C103" s="70"/>
      <c r="D103" s="154" t="s">
        <v>929</v>
      </c>
      <c r="L103" s="61"/>
      <c r="M103" s="62"/>
      <c r="N103" s="63"/>
      <c r="O103" s="62"/>
      <c r="P103" s="63"/>
      <c r="Q103" s="62"/>
      <c r="R103" s="63"/>
      <c r="S103" s="62"/>
      <c r="T103" s="63"/>
      <c r="U103" s="62"/>
      <c r="V103" s="63"/>
      <c r="W103" s="62">
        <v>4.0</v>
      </c>
      <c r="X103" s="117"/>
      <c r="Y103" s="173"/>
      <c r="Z103" s="65"/>
    </row>
    <row r="104" ht="14.25" customHeight="1">
      <c r="B104" s="148"/>
      <c r="C104" s="77"/>
      <c r="D104" s="154" t="s">
        <v>930</v>
      </c>
      <c r="L104" s="61"/>
      <c r="M104" s="62"/>
      <c r="N104" s="63"/>
      <c r="O104" s="62"/>
      <c r="P104" s="63"/>
      <c r="Q104" s="62"/>
      <c r="R104" s="63"/>
      <c r="S104" s="62"/>
      <c r="T104" s="63"/>
      <c r="U104" s="62"/>
      <c r="V104" s="63"/>
      <c r="W104" s="62">
        <v>5.0</v>
      </c>
      <c r="X104" s="117"/>
      <c r="Y104" s="173"/>
      <c r="Z104" s="65"/>
    </row>
    <row r="105" ht="14.25" customHeight="1">
      <c r="B105" s="148"/>
      <c r="C105" s="77"/>
      <c r="D105" s="154" t="s">
        <v>931</v>
      </c>
      <c r="L105" s="61"/>
      <c r="M105" s="62"/>
      <c r="N105" s="63"/>
      <c r="O105" s="62"/>
      <c r="P105" s="63"/>
      <c r="Q105" s="62"/>
      <c r="R105" s="63"/>
      <c r="S105" s="62"/>
      <c r="T105" s="63"/>
      <c r="U105" s="62"/>
      <c r="V105" s="63"/>
      <c r="W105" s="62">
        <v>4.0</v>
      </c>
      <c r="X105" s="117"/>
      <c r="Y105" s="173"/>
      <c r="Z105" s="65"/>
    </row>
    <row r="106" ht="14.25" customHeight="1">
      <c r="B106" s="148"/>
      <c r="C106" s="77"/>
      <c r="D106" s="154" t="s">
        <v>932</v>
      </c>
      <c r="L106" s="61"/>
      <c r="M106" s="62"/>
      <c r="N106" s="63"/>
      <c r="O106" s="62"/>
      <c r="P106" s="63"/>
      <c r="Q106" s="62"/>
      <c r="R106" s="63"/>
      <c r="S106" s="62"/>
      <c r="T106" s="63"/>
      <c r="U106" s="62"/>
      <c r="V106" s="63"/>
      <c r="W106" s="62"/>
      <c r="X106" s="117"/>
      <c r="Y106" s="173"/>
      <c r="Z106" s="65"/>
    </row>
    <row r="107" ht="14.25" customHeight="1">
      <c r="B107" s="148"/>
      <c r="C107" s="144"/>
      <c r="D107" s="183" t="s">
        <v>933</v>
      </c>
      <c r="L107" s="61"/>
      <c r="M107" s="62"/>
      <c r="N107" s="63"/>
      <c r="O107" s="62"/>
      <c r="P107" s="63"/>
      <c r="Q107" s="62"/>
      <c r="R107" s="63"/>
      <c r="S107" s="62"/>
      <c r="T107" s="63"/>
      <c r="U107" s="62"/>
      <c r="V107" s="63"/>
      <c r="W107" s="62">
        <v>41.0</v>
      </c>
      <c r="X107" s="117"/>
      <c r="Y107" s="173"/>
      <c r="Z107" s="65"/>
    </row>
    <row r="108" ht="14.25" customHeight="1">
      <c r="B108" s="148"/>
      <c r="C108" s="70"/>
      <c r="D108" s="154" t="s">
        <v>934</v>
      </c>
      <c r="L108" s="61"/>
      <c r="M108" s="62"/>
      <c r="N108" s="63"/>
      <c r="O108" s="62"/>
      <c r="P108" s="63"/>
      <c r="Q108" s="62"/>
      <c r="R108" s="63"/>
      <c r="S108" s="62"/>
      <c r="T108" s="63"/>
      <c r="U108" s="62"/>
      <c r="V108" s="63"/>
      <c r="W108" s="62"/>
      <c r="X108" s="117"/>
      <c r="Y108" s="173"/>
      <c r="Z108" s="65"/>
    </row>
    <row r="109" ht="14.25" customHeight="1">
      <c r="B109" s="148"/>
      <c r="C109" s="77"/>
      <c r="D109" s="154" t="s">
        <v>935</v>
      </c>
      <c r="L109" s="61"/>
      <c r="M109" s="62"/>
      <c r="N109" s="63"/>
      <c r="O109" s="62"/>
      <c r="P109" s="63"/>
      <c r="Q109" s="62"/>
      <c r="R109" s="63"/>
      <c r="S109" s="62"/>
      <c r="T109" s="63"/>
      <c r="U109" s="62"/>
      <c r="V109" s="63"/>
      <c r="W109" s="62"/>
      <c r="X109" s="117"/>
      <c r="Y109" s="173"/>
      <c r="Z109" s="65"/>
    </row>
    <row r="110" ht="14.25" customHeight="1">
      <c r="B110" s="148"/>
      <c r="C110" s="75"/>
      <c r="D110" s="183" t="s">
        <v>936</v>
      </c>
      <c r="L110" s="61"/>
      <c r="M110" s="62"/>
      <c r="N110" s="63"/>
      <c r="O110" s="62"/>
      <c r="P110" s="63"/>
      <c r="Q110" s="62"/>
      <c r="R110" s="63"/>
      <c r="S110" s="62"/>
      <c r="T110" s="63"/>
      <c r="U110" s="62"/>
      <c r="V110" s="63"/>
      <c r="W110" s="62">
        <v>6.0</v>
      </c>
      <c r="X110" s="117"/>
      <c r="Y110" s="173"/>
      <c r="Z110" s="65"/>
    </row>
    <row r="111" ht="14.25" customHeight="1">
      <c r="B111" s="148"/>
      <c r="C111" s="214" t="s">
        <v>937</v>
      </c>
      <c r="D111" s="183" t="s">
        <v>938</v>
      </c>
      <c r="E111" s="70"/>
      <c r="L111" s="61"/>
      <c r="M111" s="62"/>
      <c r="N111" s="63"/>
      <c r="O111" s="62"/>
      <c r="P111" s="63"/>
      <c r="Q111" s="62"/>
      <c r="R111" s="63" t="s">
        <v>131</v>
      </c>
      <c r="S111" s="62"/>
      <c r="T111" s="63"/>
      <c r="U111" s="62"/>
      <c r="V111" s="63"/>
      <c r="W111" s="62">
        <v>7.0</v>
      </c>
      <c r="X111" s="117"/>
      <c r="Y111" s="173"/>
      <c r="Z111" s="65"/>
    </row>
    <row r="112" ht="14.25" customHeight="1">
      <c r="B112" s="148"/>
      <c r="C112" s="144"/>
      <c r="D112" s="183"/>
      <c r="E112" s="70"/>
      <c r="L112" s="61"/>
      <c r="M112" s="62"/>
      <c r="N112" s="63"/>
      <c r="O112" s="62"/>
      <c r="P112" s="63"/>
      <c r="Q112" s="62"/>
      <c r="R112" s="63"/>
      <c r="S112" s="62"/>
      <c r="T112" s="63"/>
      <c r="U112" s="62"/>
      <c r="V112" s="63"/>
      <c r="W112" s="62"/>
      <c r="X112" s="117"/>
      <c r="Y112" s="173"/>
      <c r="Z112" s="65"/>
    </row>
    <row r="113" ht="14.25" customHeight="1">
      <c r="B113" s="148"/>
      <c r="C113" s="214" t="s">
        <v>941</v>
      </c>
      <c r="D113" s="183" t="s">
        <v>1186</v>
      </c>
      <c r="E113" s="70"/>
      <c r="L113" s="61"/>
      <c r="M113" s="62"/>
      <c r="N113" s="63"/>
      <c r="O113" s="62"/>
      <c r="P113" s="63"/>
      <c r="Q113" s="62"/>
      <c r="R113" s="63" t="s">
        <v>131</v>
      </c>
      <c r="S113" s="62"/>
      <c r="T113" s="63"/>
      <c r="U113" s="62"/>
      <c r="V113" s="63"/>
      <c r="W113" s="62">
        <v>3.0</v>
      </c>
      <c r="X113" s="117"/>
      <c r="Y113" s="173"/>
      <c r="Z113" s="65"/>
    </row>
    <row r="114" ht="14.25" customHeight="1">
      <c r="B114" s="69" t="s">
        <v>403</v>
      </c>
      <c r="C114" s="70"/>
      <c r="D114" s="143"/>
      <c r="E114" s="143"/>
      <c r="L114" s="61"/>
      <c r="M114" s="62"/>
      <c r="N114" s="63"/>
      <c r="O114" s="62"/>
      <c r="P114" s="63"/>
      <c r="Q114" s="62"/>
      <c r="R114" s="63"/>
      <c r="S114" s="62"/>
      <c r="T114" s="63"/>
      <c r="U114" s="62"/>
      <c r="V114" s="63"/>
      <c r="W114" s="62"/>
      <c r="X114" s="117"/>
      <c r="Y114" s="173"/>
      <c r="Z114" s="65"/>
    </row>
    <row r="115" ht="14.25" customHeight="1">
      <c r="B115" s="148" t="s">
        <v>943</v>
      </c>
      <c r="C115" s="214" t="s">
        <v>866</v>
      </c>
      <c r="D115" s="144" t="s">
        <v>944</v>
      </c>
      <c r="E115" s="144"/>
      <c r="L115" s="61"/>
      <c r="M115" s="62"/>
      <c r="N115" s="63"/>
      <c r="O115" s="62"/>
      <c r="P115" s="63"/>
      <c r="Q115" s="62"/>
      <c r="R115" s="63"/>
      <c r="S115" s="62"/>
      <c r="T115" s="63"/>
      <c r="U115" s="62"/>
      <c r="V115" s="63"/>
      <c r="W115" s="62"/>
      <c r="X115" s="117"/>
      <c r="Y115" s="173"/>
      <c r="Z115" s="65"/>
    </row>
    <row r="116" ht="14.25" customHeight="1">
      <c r="B116" s="69" t="s">
        <v>945</v>
      </c>
      <c r="C116" s="70"/>
      <c r="D116" s="70" t="s">
        <v>845</v>
      </c>
      <c r="E116" s="118" t="s">
        <v>946</v>
      </c>
      <c r="L116" s="61"/>
      <c r="M116" s="62"/>
      <c r="N116" s="63"/>
      <c r="O116" s="62"/>
      <c r="P116" s="63"/>
      <c r="Q116" s="62"/>
      <c r="R116" s="63"/>
      <c r="S116" s="62">
        <v>0.0</v>
      </c>
      <c r="T116" s="63">
        <v>0.0</v>
      </c>
      <c r="U116" s="62">
        <v>0.0</v>
      </c>
      <c r="V116" s="63">
        <v>1.0</v>
      </c>
      <c r="W116" s="62">
        <f t="shared" ref="W116:W143" si="3">SUM(S116:V116)</f>
        <v>1</v>
      </c>
      <c r="X116" s="117"/>
      <c r="Y116" s="173"/>
      <c r="Z116" s="65"/>
    </row>
    <row r="117" ht="14.25" customHeight="1">
      <c r="B117" s="148"/>
      <c r="C117" s="70"/>
      <c r="D117" s="197"/>
      <c r="E117" s="118" t="s">
        <v>878</v>
      </c>
      <c r="L117" s="61"/>
      <c r="M117" s="62"/>
      <c r="N117" s="63"/>
      <c r="O117" s="62"/>
      <c r="P117" s="63"/>
      <c r="Q117" s="62"/>
      <c r="R117" s="63"/>
      <c r="S117" s="62">
        <v>0.0</v>
      </c>
      <c r="T117" s="63">
        <v>0.0</v>
      </c>
      <c r="U117" s="62">
        <v>0.0</v>
      </c>
      <c r="V117" s="63">
        <v>1.0</v>
      </c>
      <c r="W117" s="62">
        <f t="shared" si="3"/>
        <v>1</v>
      </c>
      <c r="X117" s="117"/>
      <c r="Y117" s="173"/>
      <c r="Z117" s="65"/>
    </row>
    <row r="118" ht="14.25" customHeight="1">
      <c r="B118" s="148"/>
      <c r="C118" s="70"/>
      <c r="D118" s="197"/>
      <c r="E118" s="118" t="s">
        <v>879</v>
      </c>
      <c r="L118" s="61"/>
      <c r="M118" s="62"/>
      <c r="N118" s="63"/>
      <c r="O118" s="62"/>
      <c r="P118" s="63"/>
      <c r="Q118" s="62"/>
      <c r="R118" s="63"/>
      <c r="S118" s="62">
        <v>0.0</v>
      </c>
      <c r="T118" s="63">
        <v>0.0</v>
      </c>
      <c r="U118" s="62">
        <v>0.0</v>
      </c>
      <c r="V118" s="63">
        <v>0.0</v>
      </c>
      <c r="W118" s="62">
        <f t="shared" si="3"/>
        <v>0</v>
      </c>
      <c r="X118" s="117"/>
      <c r="Y118" s="173"/>
      <c r="Z118" s="65"/>
    </row>
    <row r="119" ht="14.25" customHeight="1">
      <c r="B119" s="148" t="s">
        <v>403</v>
      </c>
      <c r="C119" s="70"/>
      <c r="D119" s="197"/>
      <c r="E119" s="118" t="s">
        <v>880</v>
      </c>
      <c r="L119" s="61"/>
      <c r="M119" s="62"/>
      <c r="N119" s="63"/>
      <c r="O119" s="62"/>
      <c r="P119" s="63"/>
      <c r="Q119" s="62"/>
      <c r="R119" s="63"/>
      <c r="S119" s="62">
        <v>0.0</v>
      </c>
      <c r="T119" s="63">
        <v>0.0</v>
      </c>
      <c r="U119" s="62">
        <v>0.0</v>
      </c>
      <c r="V119" s="63">
        <v>0.0</v>
      </c>
      <c r="W119" s="62">
        <f t="shared" si="3"/>
        <v>0</v>
      </c>
      <c r="X119" s="117"/>
      <c r="Y119" s="173"/>
      <c r="Z119" s="65"/>
    </row>
    <row r="120" ht="14.25" customHeight="1">
      <c r="B120" s="148"/>
      <c r="C120" s="70"/>
      <c r="D120" s="70" t="s">
        <v>847</v>
      </c>
      <c r="E120" s="118" t="s">
        <v>947</v>
      </c>
      <c r="L120" s="61"/>
      <c r="M120" s="62"/>
      <c r="N120" s="63"/>
      <c r="O120" s="62"/>
      <c r="P120" s="63"/>
      <c r="Q120" s="62"/>
      <c r="R120" s="63"/>
      <c r="S120" s="62">
        <v>24.0</v>
      </c>
      <c r="T120" s="63">
        <v>21.0</v>
      </c>
      <c r="U120" s="62">
        <v>16.0</v>
      </c>
      <c r="V120" s="63">
        <v>18.0</v>
      </c>
      <c r="W120" s="62">
        <f t="shared" si="3"/>
        <v>79</v>
      </c>
      <c r="X120" s="117"/>
      <c r="Y120" s="173"/>
      <c r="Z120" s="65"/>
    </row>
    <row r="121" ht="14.25" customHeight="1">
      <c r="B121" s="148"/>
      <c r="C121" s="70"/>
      <c r="D121" s="70" t="s">
        <v>849</v>
      </c>
      <c r="E121" s="118" t="s">
        <v>948</v>
      </c>
      <c r="L121" s="61"/>
      <c r="M121" s="62"/>
      <c r="N121" s="63"/>
      <c r="O121" s="62"/>
      <c r="P121" s="63"/>
      <c r="Q121" s="62"/>
      <c r="R121" s="63"/>
      <c r="S121" s="62">
        <v>0.0</v>
      </c>
      <c r="T121" s="63">
        <v>3.0</v>
      </c>
      <c r="U121" s="62">
        <v>5.0</v>
      </c>
      <c r="V121" s="63">
        <v>2.0</v>
      </c>
      <c r="W121" s="62">
        <f t="shared" si="3"/>
        <v>10</v>
      </c>
      <c r="X121" s="117"/>
      <c r="Y121" s="173"/>
      <c r="Z121" s="65"/>
    </row>
    <row r="122" ht="14.25" customHeight="1">
      <c r="B122" s="148"/>
      <c r="C122" s="70"/>
      <c r="D122" s="70" t="s">
        <v>858</v>
      </c>
      <c r="E122" s="118" t="s">
        <v>949</v>
      </c>
      <c r="L122" s="61"/>
      <c r="M122" s="62"/>
      <c r="N122" s="63"/>
      <c r="O122" s="62"/>
      <c r="P122" s="63"/>
      <c r="Q122" s="62"/>
      <c r="R122" s="63"/>
      <c r="S122" s="62">
        <v>0.0</v>
      </c>
      <c r="T122" s="63">
        <v>0.0</v>
      </c>
      <c r="U122" s="62">
        <v>7.0</v>
      </c>
      <c r="V122" s="63">
        <v>5.0</v>
      </c>
      <c r="W122" s="62">
        <f t="shared" si="3"/>
        <v>12</v>
      </c>
      <c r="X122" s="117"/>
      <c r="Y122" s="173"/>
      <c r="Z122" s="65"/>
    </row>
    <row r="123" ht="14.25" customHeight="1">
      <c r="B123" s="148"/>
      <c r="C123" s="70"/>
      <c r="D123" s="70" t="s">
        <v>860</v>
      </c>
      <c r="E123" s="118" t="s">
        <v>950</v>
      </c>
      <c r="L123" s="61"/>
      <c r="M123" s="62"/>
      <c r="N123" s="63"/>
      <c r="O123" s="62"/>
      <c r="P123" s="63"/>
      <c r="Q123" s="62"/>
      <c r="R123" s="63"/>
      <c r="S123" s="62">
        <v>0.0</v>
      </c>
      <c r="T123" s="63">
        <v>0.0</v>
      </c>
      <c r="U123" s="62">
        <v>10.0</v>
      </c>
      <c r="V123" s="63">
        <v>7.0</v>
      </c>
      <c r="W123" s="62">
        <f t="shared" si="3"/>
        <v>17</v>
      </c>
      <c r="X123" s="117"/>
      <c r="Y123" s="173"/>
      <c r="Z123" s="65"/>
    </row>
    <row r="124" ht="14.25" customHeight="1">
      <c r="B124" s="148"/>
      <c r="C124" s="70"/>
      <c r="D124" s="70" t="s">
        <v>862</v>
      </c>
      <c r="E124" s="118" t="s">
        <v>951</v>
      </c>
      <c r="L124" s="61"/>
      <c r="M124" s="62"/>
      <c r="N124" s="63"/>
      <c r="O124" s="62"/>
      <c r="P124" s="63"/>
      <c r="Q124" s="62"/>
      <c r="R124" s="63"/>
      <c r="S124" s="62">
        <v>3.0</v>
      </c>
      <c r="T124" s="63">
        <v>0.0</v>
      </c>
      <c r="U124" s="62">
        <v>0.0</v>
      </c>
      <c r="V124" s="63">
        <v>0.0</v>
      </c>
      <c r="W124" s="62">
        <f t="shared" si="3"/>
        <v>3</v>
      </c>
      <c r="X124" s="117"/>
      <c r="Y124" s="173"/>
      <c r="Z124" s="65"/>
    </row>
    <row r="125" ht="14.25" customHeight="1">
      <c r="B125" s="148"/>
      <c r="C125" s="70"/>
      <c r="D125" s="70" t="s">
        <v>914</v>
      </c>
      <c r="E125" s="118" t="s">
        <v>919</v>
      </c>
      <c r="L125" s="61"/>
      <c r="M125" s="62"/>
      <c r="N125" s="63"/>
      <c r="O125" s="62"/>
      <c r="P125" s="63"/>
      <c r="Q125" s="62"/>
      <c r="R125" s="63"/>
      <c r="S125" s="62">
        <v>14.0</v>
      </c>
      <c r="T125" s="63">
        <v>8.0</v>
      </c>
      <c r="U125" s="62">
        <v>7.0</v>
      </c>
      <c r="V125" s="63">
        <v>9.0</v>
      </c>
      <c r="W125" s="62">
        <f t="shared" si="3"/>
        <v>38</v>
      </c>
      <c r="X125" s="117"/>
      <c r="Y125" s="173"/>
      <c r="Z125" s="65"/>
    </row>
    <row r="126" ht="14.25" customHeight="1">
      <c r="B126" s="148"/>
      <c r="C126" s="70"/>
      <c r="D126" s="70"/>
      <c r="F126" s="118" t="s">
        <v>952</v>
      </c>
      <c r="L126" s="61"/>
      <c r="M126" s="62"/>
      <c r="N126" s="63"/>
      <c r="O126" s="62"/>
      <c r="P126" s="63"/>
      <c r="Q126" s="62"/>
      <c r="R126" s="63"/>
      <c r="S126" s="62">
        <v>8.0</v>
      </c>
      <c r="T126" s="63">
        <v>8.0</v>
      </c>
      <c r="U126" s="62">
        <v>7.0</v>
      </c>
      <c r="V126" s="63">
        <v>9.0</v>
      </c>
      <c r="W126" s="62">
        <f t="shared" si="3"/>
        <v>32</v>
      </c>
      <c r="X126" s="117"/>
      <c r="Y126" s="173"/>
      <c r="Z126" s="65"/>
    </row>
    <row r="127" ht="14.25" customHeight="1">
      <c r="B127" s="148"/>
      <c r="C127" s="70"/>
      <c r="D127" s="70"/>
      <c r="F127" s="118" t="s">
        <v>953</v>
      </c>
      <c r="L127" s="61"/>
      <c r="M127" s="62"/>
      <c r="N127" s="63"/>
      <c r="O127" s="62"/>
      <c r="P127" s="63"/>
      <c r="Q127" s="62"/>
      <c r="R127" s="63"/>
      <c r="S127" s="62">
        <v>6.0</v>
      </c>
      <c r="T127" s="63">
        <v>0.0</v>
      </c>
      <c r="U127" s="62">
        <v>0.0</v>
      </c>
      <c r="V127" s="63">
        <v>0.0</v>
      </c>
      <c r="W127" s="62">
        <f t="shared" si="3"/>
        <v>6</v>
      </c>
      <c r="X127" s="117"/>
      <c r="Y127" s="173"/>
      <c r="Z127" s="65"/>
    </row>
    <row r="128" ht="14.25" customHeight="1">
      <c r="B128" s="148"/>
      <c r="C128" s="70"/>
      <c r="D128" s="70"/>
      <c r="L128" s="61"/>
      <c r="M128" s="62"/>
      <c r="N128" s="63"/>
      <c r="O128" s="62"/>
      <c r="P128" s="63"/>
      <c r="Q128" s="62"/>
      <c r="R128" s="63"/>
      <c r="S128" s="62">
        <v>0.0</v>
      </c>
      <c r="T128" s="63">
        <v>0.0</v>
      </c>
      <c r="U128" s="62">
        <v>0.0</v>
      </c>
      <c r="V128" s="63">
        <v>0.0</v>
      </c>
      <c r="W128" s="62">
        <f t="shared" si="3"/>
        <v>0</v>
      </c>
      <c r="X128" s="117"/>
      <c r="Y128" s="173"/>
      <c r="Z128" s="65"/>
    </row>
    <row r="129" ht="14.25" customHeight="1">
      <c r="B129" s="148"/>
      <c r="C129" s="70"/>
      <c r="D129" s="70"/>
      <c r="F129" s="118" t="s">
        <v>955</v>
      </c>
      <c r="L129" s="61"/>
      <c r="M129" s="62"/>
      <c r="N129" s="63"/>
      <c r="O129" s="62"/>
      <c r="P129" s="63"/>
      <c r="Q129" s="62"/>
      <c r="R129" s="63"/>
      <c r="S129" s="62">
        <v>0.0</v>
      </c>
      <c r="T129" s="63">
        <v>0.0</v>
      </c>
      <c r="U129" s="62">
        <v>0.0</v>
      </c>
      <c r="V129" s="63">
        <v>0.0</v>
      </c>
      <c r="W129" s="62">
        <f t="shared" si="3"/>
        <v>0</v>
      </c>
      <c r="X129" s="117"/>
      <c r="Y129" s="173"/>
      <c r="Z129" s="65"/>
    </row>
    <row r="130" ht="14.25" customHeight="1">
      <c r="B130" s="148"/>
      <c r="C130" s="70"/>
      <c r="D130" s="70"/>
      <c r="E130" s="77"/>
      <c r="L130" s="61"/>
      <c r="M130" s="62"/>
      <c r="N130" s="63"/>
      <c r="O130" s="62"/>
      <c r="P130" s="63"/>
      <c r="Q130" s="62"/>
      <c r="R130" s="63"/>
      <c r="S130" s="62"/>
      <c r="T130" s="63">
        <v>0.0</v>
      </c>
      <c r="U130" s="62"/>
      <c r="V130" s="63">
        <v>0.0</v>
      </c>
      <c r="W130" s="62">
        <f t="shared" si="3"/>
        <v>0</v>
      </c>
      <c r="X130" s="117"/>
      <c r="Y130" s="173"/>
      <c r="Z130" s="65"/>
    </row>
    <row r="131" ht="14.25" customHeight="1">
      <c r="B131" s="148"/>
      <c r="C131" s="555" t="s">
        <v>906</v>
      </c>
      <c r="D131" s="144" t="s">
        <v>957</v>
      </c>
      <c r="E131" s="144"/>
      <c r="L131" s="61"/>
      <c r="M131" s="62"/>
      <c r="N131" s="63"/>
      <c r="O131" s="62"/>
      <c r="P131" s="63"/>
      <c r="Q131" s="62"/>
      <c r="R131" s="63"/>
      <c r="S131" s="62"/>
      <c r="T131" s="63"/>
      <c r="U131" s="62"/>
      <c r="V131" s="63"/>
      <c r="W131" s="62">
        <f t="shared" si="3"/>
        <v>0</v>
      </c>
      <c r="X131" s="117"/>
      <c r="Y131" s="173"/>
      <c r="Z131" s="65"/>
    </row>
    <row r="132" ht="14.25" customHeight="1">
      <c r="B132" s="69"/>
      <c r="C132" s="70"/>
      <c r="D132" s="70" t="s">
        <v>845</v>
      </c>
      <c r="E132" s="118" t="s">
        <v>915</v>
      </c>
      <c r="L132" s="61"/>
      <c r="M132" s="62"/>
      <c r="N132" s="63"/>
      <c r="O132" s="62"/>
      <c r="P132" s="63"/>
      <c r="Q132" s="62"/>
      <c r="R132" s="63"/>
      <c r="S132" s="62">
        <v>20.0</v>
      </c>
      <c r="T132" s="63">
        <v>39.0</v>
      </c>
      <c r="U132" s="62"/>
      <c r="V132" s="63">
        <v>24.0</v>
      </c>
      <c r="W132" s="62">
        <f t="shared" si="3"/>
        <v>83</v>
      </c>
      <c r="X132" s="117"/>
      <c r="Y132" s="173"/>
      <c r="Z132" s="65"/>
    </row>
    <row r="133" ht="14.25" customHeight="1">
      <c r="B133" s="69"/>
      <c r="C133" s="70"/>
      <c r="D133" s="70" t="s">
        <v>847</v>
      </c>
      <c r="E133" s="118" t="s">
        <v>912</v>
      </c>
      <c r="L133" s="61"/>
      <c r="M133" s="62"/>
      <c r="N133" s="63"/>
      <c r="O133" s="62"/>
      <c r="P133" s="63"/>
      <c r="Q133" s="62"/>
      <c r="R133" s="63"/>
      <c r="S133" s="62">
        <v>1.0</v>
      </c>
      <c r="T133" s="63">
        <v>0.0</v>
      </c>
      <c r="U133" s="62"/>
      <c r="V133" s="63">
        <v>1.0</v>
      </c>
      <c r="W133" s="62">
        <f t="shared" si="3"/>
        <v>2</v>
      </c>
      <c r="X133" s="117"/>
      <c r="Y133" s="173"/>
      <c r="Z133" s="65"/>
    </row>
    <row r="134" ht="14.25" customHeight="1">
      <c r="B134" s="69"/>
      <c r="C134" s="70"/>
      <c r="D134" s="70" t="s">
        <v>849</v>
      </c>
      <c r="E134" s="118" t="s">
        <v>958</v>
      </c>
      <c r="L134" s="61"/>
      <c r="M134" s="62"/>
      <c r="N134" s="63"/>
      <c r="O134" s="62"/>
      <c r="P134" s="63"/>
      <c r="Q134" s="62"/>
      <c r="R134" s="63"/>
      <c r="S134" s="62">
        <v>0.0</v>
      </c>
      <c r="T134" s="63">
        <v>0.0</v>
      </c>
      <c r="U134" s="62"/>
      <c r="V134" s="63">
        <v>3.0</v>
      </c>
      <c r="W134" s="62">
        <f t="shared" si="3"/>
        <v>3</v>
      </c>
      <c r="X134" s="117"/>
      <c r="Y134" s="173"/>
      <c r="Z134" s="65"/>
    </row>
    <row r="135" ht="14.25" customHeight="1">
      <c r="B135" s="69"/>
      <c r="C135" s="70"/>
      <c r="D135" s="70" t="s">
        <v>858</v>
      </c>
      <c r="E135" s="118" t="s">
        <v>959</v>
      </c>
      <c r="L135" s="61"/>
      <c r="M135" s="62"/>
      <c r="N135" s="63"/>
      <c r="O135" s="62"/>
      <c r="P135" s="63"/>
      <c r="Q135" s="62"/>
      <c r="R135" s="63"/>
      <c r="S135" s="62">
        <v>2.0</v>
      </c>
      <c r="T135" s="63">
        <v>3.0</v>
      </c>
      <c r="U135" s="62"/>
      <c r="V135" s="63">
        <v>3.0</v>
      </c>
      <c r="W135" s="62">
        <f t="shared" si="3"/>
        <v>8</v>
      </c>
      <c r="X135" s="117"/>
      <c r="Y135" s="173"/>
      <c r="Z135" s="65"/>
    </row>
    <row r="136" ht="14.25" customHeight="1">
      <c r="B136" s="69"/>
      <c r="C136" s="70"/>
      <c r="D136" s="70" t="s">
        <v>860</v>
      </c>
      <c r="E136" s="118" t="s">
        <v>908</v>
      </c>
      <c r="L136" s="61"/>
      <c r="M136" s="62"/>
      <c r="N136" s="63"/>
      <c r="O136" s="62"/>
      <c r="P136" s="63"/>
      <c r="Q136" s="62"/>
      <c r="R136" s="63"/>
      <c r="S136" s="62">
        <v>0.0</v>
      </c>
      <c r="T136" s="63">
        <v>3.0</v>
      </c>
      <c r="U136" s="62"/>
      <c r="V136" s="63">
        <v>3.0</v>
      </c>
      <c r="W136" s="62">
        <f t="shared" si="3"/>
        <v>6</v>
      </c>
      <c r="X136" s="117"/>
      <c r="Y136" s="173"/>
      <c r="Z136" s="65"/>
    </row>
    <row r="137" ht="14.25" customHeight="1">
      <c r="B137" s="69"/>
      <c r="C137" s="70"/>
      <c r="D137" s="70" t="s">
        <v>862</v>
      </c>
      <c r="E137" s="118" t="s">
        <v>909</v>
      </c>
      <c r="L137" s="61"/>
      <c r="M137" s="62"/>
      <c r="N137" s="63"/>
      <c r="O137" s="62"/>
      <c r="P137" s="63"/>
      <c r="Q137" s="62"/>
      <c r="R137" s="63"/>
      <c r="S137" s="62">
        <v>0.0</v>
      </c>
      <c r="T137" s="63">
        <v>0.0</v>
      </c>
      <c r="U137" s="62"/>
      <c r="V137" s="63">
        <v>2.0</v>
      </c>
      <c r="W137" s="62">
        <f t="shared" si="3"/>
        <v>2</v>
      </c>
      <c r="X137" s="117"/>
      <c r="Y137" s="173"/>
      <c r="Z137" s="65"/>
    </row>
    <row r="138" ht="14.25" customHeight="1">
      <c r="B138" s="69"/>
      <c r="C138" s="70"/>
      <c r="D138" s="70" t="s">
        <v>914</v>
      </c>
      <c r="E138" s="118" t="s">
        <v>910</v>
      </c>
      <c r="L138" s="61"/>
      <c r="M138" s="62"/>
      <c r="N138" s="63"/>
      <c r="O138" s="62"/>
      <c r="P138" s="63"/>
      <c r="Q138" s="62"/>
      <c r="R138" s="63"/>
      <c r="S138" s="62">
        <v>14.0</v>
      </c>
      <c r="T138" s="63">
        <v>1.0</v>
      </c>
      <c r="U138" s="62"/>
      <c r="V138" s="63">
        <v>2.0</v>
      </c>
      <c r="W138" s="62">
        <f t="shared" si="3"/>
        <v>17</v>
      </c>
      <c r="X138" s="117"/>
      <c r="Y138" s="173"/>
      <c r="Z138" s="65"/>
    </row>
    <row r="139" ht="14.25" customHeight="1">
      <c r="B139" s="69"/>
      <c r="C139" s="70"/>
      <c r="D139" s="70" t="s">
        <v>916</v>
      </c>
      <c r="E139" s="118" t="s">
        <v>913</v>
      </c>
      <c r="L139" s="61"/>
      <c r="M139" s="62"/>
      <c r="N139" s="63"/>
      <c r="O139" s="62"/>
      <c r="P139" s="63"/>
      <c r="Q139" s="62"/>
      <c r="R139" s="63"/>
      <c r="S139" s="62">
        <v>0.0</v>
      </c>
      <c r="T139" s="63">
        <v>0.0</v>
      </c>
      <c r="U139" s="62"/>
      <c r="V139" s="63">
        <v>10.0</v>
      </c>
      <c r="W139" s="62">
        <f t="shared" si="3"/>
        <v>10</v>
      </c>
      <c r="X139" s="117"/>
      <c r="Y139" s="173"/>
      <c r="Z139" s="65"/>
    </row>
    <row r="140" ht="14.25" customHeight="1">
      <c r="B140" s="69"/>
      <c r="C140" s="70"/>
      <c r="D140" s="70" t="s">
        <v>960</v>
      </c>
      <c r="E140" s="118" t="s">
        <v>961</v>
      </c>
      <c r="L140" s="61"/>
      <c r="M140" s="62"/>
      <c r="N140" s="63"/>
      <c r="O140" s="62"/>
      <c r="P140" s="63"/>
      <c r="Q140" s="62"/>
      <c r="R140" s="63"/>
      <c r="S140" s="62">
        <v>3.0</v>
      </c>
      <c r="T140" s="63">
        <v>7.0</v>
      </c>
      <c r="U140" s="62"/>
      <c r="V140" s="63">
        <v>12.0</v>
      </c>
      <c r="W140" s="62">
        <f t="shared" si="3"/>
        <v>22</v>
      </c>
      <c r="X140" s="117"/>
      <c r="Y140" s="173"/>
      <c r="Z140" s="65"/>
    </row>
    <row r="141" ht="14.25" customHeight="1">
      <c r="B141" s="69"/>
      <c r="C141" s="70"/>
      <c r="D141" s="70" t="s">
        <v>962</v>
      </c>
      <c r="E141" s="118" t="s">
        <v>963</v>
      </c>
      <c r="L141" s="61"/>
      <c r="M141" s="62"/>
      <c r="N141" s="63"/>
      <c r="O141" s="62"/>
      <c r="P141" s="63"/>
      <c r="Q141" s="62"/>
      <c r="R141" s="63"/>
      <c r="S141" s="62">
        <v>5.0</v>
      </c>
      <c r="T141" s="63">
        <v>0.0</v>
      </c>
      <c r="U141" s="62"/>
      <c r="V141" s="63">
        <v>0.0</v>
      </c>
      <c r="W141" s="62">
        <f t="shared" si="3"/>
        <v>5</v>
      </c>
      <c r="X141" s="117"/>
      <c r="Y141" s="173"/>
      <c r="Z141" s="65"/>
    </row>
    <row r="142" ht="14.25" customHeight="1">
      <c r="B142" s="69"/>
      <c r="C142" s="70"/>
      <c r="D142" s="70"/>
      <c r="F142" s="118" t="s">
        <v>964</v>
      </c>
      <c r="L142" s="61"/>
      <c r="M142" s="62"/>
      <c r="N142" s="63"/>
      <c r="O142" s="62"/>
      <c r="P142" s="63"/>
      <c r="Q142" s="62"/>
      <c r="R142" s="63"/>
      <c r="S142" s="62">
        <v>2.0</v>
      </c>
      <c r="T142" s="63">
        <v>0.0</v>
      </c>
      <c r="U142" s="62"/>
      <c r="V142" s="63">
        <v>0.0</v>
      </c>
      <c r="W142" s="62">
        <f t="shared" si="3"/>
        <v>2</v>
      </c>
      <c r="X142" s="117"/>
      <c r="Y142" s="173"/>
      <c r="Z142" s="65"/>
    </row>
    <row r="143" ht="14.25" customHeight="1">
      <c r="B143" s="69"/>
      <c r="C143" s="70"/>
      <c r="D143" s="70"/>
      <c r="F143" s="118" t="s">
        <v>921</v>
      </c>
      <c r="L143" s="61"/>
      <c r="M143" s="62"/>
      <c r="N143" s="63"/>
      <c r="O143" s="62"/>
      <c r="P143" s="63"/>
      <c r="Q143" s="62"/>
      <c r="R143" s="63"/>
      <c r="S143" s="62">
        <v>3.0</v>
      </c>
      <c r="T143" s="63">
        <v>0.0</v>
      </c>
      <c r="U143" s="62"/>
      <c r="V143" s="63">
        <v>0.0</v>
      </c>
      <c r="W143" s="62">
        <f t="shared" si="3"/>
        <v>3</v>
      </c>
      <c r="X143" s="117"/>
      <c r="Y143" s="173"/>
      <c r="Z143" s="65"/>
    </row>
    <row r="144" ht="14.25" customHeight="1">
      <c r="B144" s="69"/>
      <c r="C144" s="70"/>
      <c r="D144" s="70"/>
      <c r="L144" s="61"/>
      <c r="M144" s="62"/>
      <c r="N144" s="63"/>
      <c r="O144" s="62"/>
      <c r="P144" s="63"/>
      <c r="Q144" s="62"/>
      <c r="R144" s="63"/>
      <c r="S144" s="62"/>
      <c r="T144" s="63"/>
      <c r="U144" s="62"/>
      <c r="V144" s="63"/>
      <c r="W144" s="62"/>
      <c r="X144" s="117"/>
      <c r="Y144" s="173"/>
      <c r="Z144" s="65"/>
    </row>
    <row r="145" ht="14.25" customHeight="1">
      <c r="B145" s="69"/>
      <c r="C145" s="70"/>
      <c r="D145" s="70"/>
      <c r="L145" s="61"/>
      <c r="M145" s="62"/>
      <c r="N145" s="63"/>
      <c r="O145" s="62"/>
      <c r="P145" s="63"/>
      <c r="Q145" s="62"/>
      <c r="R145" s="63"/>
      <c r="S145" s="62"/>
      <c r="T145" s="63"/>
      <c r="U145" s="62"/>
      <c r="V145" s="63"/>
      <c r="W145" s="62"/>
      <c r="X145" s="117"/>
      <c r="Y145" s="173"/>
      <c r="Z145" s="65"/>
    </row>
    <row r="146" ht="14.25" customHeight="1">
      <c r="B146" s="69"/>
      <c r="C146" s="70"/>
      <c r="D146" s="70"/>
      <c r="L146" s="61"/>
      <c r="M146" s="62"/>
      <c r="N146" s="63"/>
      <c r="O146" s="62"/>
      <c r="P146" s="63"/>
      <c r="Q146" s="62"/>
      <c r="R146" s="63"/>
      <c r="S146" s="62"/>
      <c r="T146" s="63"/>
      <c r="U146" s="62"/>
      <c r="V146" s="63"/>
      <c r="W146" s="62"/>
      <c r="X146" s="117"/>
      <c r="Y146" s="173"/>
      <c r="Z146" s="65"/>
    </row>
    <row r="147" ht="14.25" customHeight="1">
      <c r="B147" s="69"/>
      <c r="C147" s="70"/>
      <c r="D147" s="70"/>
      <c r="E147" s="77"/>
      <c r="L147" s="61"/>
      <c r="M147" s="62"/>
      <c r="N147" s="63"/>
      <c r="O147" s="62"/>
      <c r="P147" s="63"/>
      <c r="Q147" s="62"/>
      <c r="R147" s="63"/>
      <c r="S147" s="62"/>
      <c r="T147" s="63"/>
      <c r="U147" s="62"/>
      <c r="V147" s="63"/>
      <c r="W147" s="62"/>
      <c r="X147" s="117"/>
      <c r="Y147" s="173"/>
      <c r="Z147" s="65"/>
    </row>
    <row r="148" ht="14.25" customHeight="1">
      <c r="B148" s="148" t="s">
        <v>968</v>
      </c>
      <c r="C148" s="183" t="s">
        <v>969</v>
      </c>
      <c r="D148" s="70"/>
      <c r="E148" s="70"/>
      <c r="L148" s="61"/>
      <c r="M148" s="62"/>
      <c r="N148" s="63"/>
      <c r="O148" s="62"/>
      <c r="P148" s="63"/>
      <c r="Q148" s="62"/>
      <c r="R148" s="63"/>
      <c r="S148" s="62"/>
      <c r="T148" s="63"/>
      <c r="U148" s="62"/>
      <c r="V148" s="63"/>
      <c r="W148" s="62"/>
      <c r="X148" s="117"/>
      <c r="Y148" s="173"/>
      <c r="Z148" s="65"/>
    </row>
    <row r="149" ht="14.25" customHeight="1">
      <c r="B149" s="69" t="s">
        <v>970</v>
      </c>
      <c r="C149" s="214" t="s">
        <v>866</v>
      </c>
      <c r="D149" s="144" t="s">
        <v>971</v>
      </c>
      <c r="E149" s="144"/>
      <c r="L149" s="61"/>
      <c r="M149" s="62"/>
      <c r="N149" s="63"/>
      <c r="O149" s="62"/>
      <c r="P149" s="63"/>
      <c r="Q149" s="62"/>
      <c r="R149" s="63"/>
      <c r="S149" s="62"/>
      <c r="T149" s="63"/>
      <c r="U149" s="62"/>
      <c r="V149" s="63"/>
      <c r="W149" s="62"/>
      <c r="X149" s="117"/>
      <c r="Y149" s="173"/>
      <c r="Z149" s="65"/>
    </row>
    <row r="150" ht="14.25" customHeight="1">
      <c r="B150" s="148" t="s">
        <v>403</v>
      </c>
      <c r="C150" s="70"/>
      <c r="D150" s="70" t="s">
        <v>972</v>
      </c>
      <c r="L150" s="61"/>
      <c r="M150" s="62"/>
      <c r="N150" s="63"/>
      <c r="O150" s="62"/>
      <c r="P150" s="63"/>
      <c r="Q150" s="62"/>
      <c r="R150" s="63"/>
      <c r="S150" s="62"/>
      <c r="T150" s="63"/>
      <c r="U150" s="62"/>
      <c r="V150" s="63"/>
      <c r="W150" s="62">
        <v>0.0</v>
      </c>
      <c r="X150" s="117"/>
      <c r="Y150" s="173"/>
      <c r="Z150" s="65"/>
    </row>
    <row r="151" ht="14.25" customHeight="1">
      <c r="B151" s="148"/>
      <c r="C151" s="70"/>
      <c r="D151" s="70" t="s">
        <v>973</v>
      </c>
      <c r="L151" s="61"/>
      <c r="M151" s="62"/>
      <c r="N151" s="63"/>
      <c r="O151" s="62"/>
      <c r="P151" s="63"/>
      <c r="Q151" s="62"/>
      <c r="R151" s="63">
        <v>66.0</v>
      </c>
      <c r="S151" s="62"/>
      <c r="T151" s="63"/>
      <c r="U151" s="62"/>
      <c r="V151" s="63"/>
      <c r="W151" s="62">
        <v>70.0</v>
      </c>
      <c r="X151" s="117"/>
      <c r="Y151" s="173"/>
      <c r="Z151" s="65"/>
    </row>
    <row r="152" ht="14.25" customHeight="1">
      <c r="B152" s="148"/>
      <c r="C152" s="70"/>
      <c r="D152" s="197" t="s">
        <v>974</v>
      </c>
      <c r="L152" s="61"/>
      <c r="M152" s="62"/>
      <c r="N152" s="63"/>
      <c r="O152" s="62"/>
      <c r="P152" s="63"/>
      <c r="Q152" s="62"/>
      <c r="R152" s="63"/>
      <c r="S152" s="62"/>
      <c r="T152" s="63"/>
      <c r="U152" s="62"/>
      <c r="V152" s="63"/>
      <c r="W152" s="62">
        <v>68.0</v>
      </c>
      <c r="X152" s="117"/>
      <c r="Y152" s="173"/>
      <c r="Z152" s="65"/>
    </row>
    <row r="153" ht="14.25" customHeight="1">
      <c r="B153" s="148"/>
      <c r="C153" s="70"/>
      <c r="D153" s="70" t="s">
        <v>975</v>
      </c>
      <c r="E153" s="70"/>
      <c r="L153" s="61"/>
      <c r="M153" s="62"/>
      <c r="N153" s="63"/>
      <c r="O153" s="62"/>
      <c r="P153" s="63"/>
      <c r="Q153" s="62"/>
      <c r="R153" s="63"/>
      <c r="S153" s="62"/>
      <c r="T153" s="63"/>
      <c r="U153" s="62"/>
      <c r="V153" s="63"/>
      <c r="W153" s="62">
        <v>40.0</v>
      </c>
      <c r="X153" s="117"/>
      <c r="Y153" s="173"/>
      <c r="Z153" s="65"/>
    </row>
    <row r="154" ht="14.25" customHeight="1">
      <c r="B154" s="148"/>
      <c r="C154" s="70"/>
      <c r="D154" s="70" t="s">
        <v>976</v>
      </c>
      <c r="E154" s="70"/>
      <c r="L154" s="61"/>
      <c r="M154" s="62"/>
      <c r="N154" s="63"/>
      <c r="O154" s="62"/>
      <c r="P154" s="63"/>
      <c r="Q154" s="62"/>
      <c r="R154" s="63"/>
      <c r="S154" s="62"/>
      <c r="T154" s="63"/>
      <c r="U154" s="62"/>
      <c r="V154" s="63"/>
      <c r="W154" s="62">
        <v>28.0</v>
      </c>
      <c r="X154" s="117"/>
      <c r="Y154" s="173"/>
      <c r="Z154" s="65"/>
    </row>
    <row r="155" ht="14.25" customHeight="1">
      <c r="B155" s="148"/>
      <c r="C155" s="143"/>
      <c r="D155" s="197" t="s">
        <v>977</v>
      </c>
      <c r="L155" s="61"/>
      <c r="M155" s="62"/>
      <c r="N155" s="63"/>
      <c r="O155" s="62"/>
      <c r="P155" s="63"/>
      <c r="Q155" s="62"/>
      <c r="R155" s="63"/>
      <c r="S155" s="62"/>
      <c r="T155" s="63"/>
      <c r="U155" s="62"/>
      <c r="V155" s="63"/>
      <c r="W155" s="62">
        <v>2.0</v>
      </c>
      <c r="X155" s="117"/>
      <c r="Y155" s="173"/>
      <c r="Z155" s="65"/>
    </row>
    <row r="156" ht="14.25" customHeight="1">
      <c r="B156" s="69" t="s">
        <v>978</v>
      </c>
      <c r="C156" s="214" t="s">
        <v>906</v>
      </c>
      <c r="D156" s="144" t="s">
        <v>979</v>
      </c>
      <c r="E156" s="143"/>
      <c r="L156" s="61"/>
      <c r="M156" s="62"/>
      <c r="N156" s="63"/>
      <c r="O156" s="62"/>
      <c r="P156" s="63"/>
      <c r="Q156" s="62"/>
      <c r="R156" s="63"/>
      <c r="S156" s="62"/>
      <c r="T156" s="63"/>
      <c r="U156" s="62"/>
      <c r="V156" s="63"/>
      <c r="W156" s="62">
        <v>0.0</v>
      </c>
      <c r="X156" s="117"/>
      <c r="Y156" s="173"/>
      <c r="Z156" s="65"/>
    </row>
    <row r="157" ht="14.25" customHeight="1">
      <c r="B157" s="148"/>
      <c r="C157" s="70"/>
      <c r="D157" s="70" t="s">
        <v>972</v>
      </c>
      <c r="L157" s="61"/>
      <c r="M157" s="62"/>
      <c r="N157" s="63"/>
      <c r="O157" s="62"/>
      <c r="P157" s="63"/>
      <c r="Q157" s="62"/>
      <c r="R157" s="63"/>
      <c r="S157" s="62"/>
      <c r="T157" s="63"/>
      <c r="U157" s="62"/>
      <c r="V157" s="63"/>
      <c r="W157" s="62">
        <v>0.0</v>
      </c>
      <c r="X157" s="117"/>
      <c r="Y157" s="173"/>
      <c r="Z157" s="65"/>
    </row>
    <row r="158" ht="14.25" customHeight="1">
      <c r="B158" s="148"/>
      <c r="C158" s="70"/>
      <c r="D158" s="70" t="s">
        <v>980</v>
      </c>
      <c r="L158" s="61"/>
      <c r="M158" s="62"/>
      <c r="N158" s="63"/>
      <c r="O158" s="62"/>
      <c r="P158" s="63"/>
      <c r="Q158" s="62"/>
      <c r="R158" s="63"/>
      <c r="S158" s="62"/>
      <c r="T158" s="63"/>
      <c r="U158" s="62"/>
      <c r="V158" s="63"/>
      <c r="W158" s="62">
        <v>1.0</v>
      </c>
      <c r="X158" s="117"/>
      <c r="Y158" s="173"/>
      <c r="Z158" s="65"/>
    </row>
    <row r="159" ht="14.25" customHeight="1">
      <c r="B159" s="148"/>
      <c r="C159" s="70"/>
      <c r="D159" s="70" t="s">
        <v>981</v>
      </c>
      <c r="L159" s="61"/>
      <c r="M159" s="62"/>
      <c r="N159" s="63"/>
      <c r="O159" s="62"/>
      <c r="P159" s="63"/>
      <c r="Q159" s="62"/>
      <c r="R159" s="63"/>
      <c r="S159" s="62"/>
      <c r="T159" s="63"/>
      <c r="U159" s="62"/>
      <c r="V159" s="63"/>
      <c r="W159" s="62">
        <v>0.0</v>
      </c>
      <c r="X159" s="117"/>
      <c r="Y159" s="173"/>
      <c r="Z159" s="65"/>
    </row>
    <row r="160" ht="14.25" customHeight="1">
      <c r="B160" s="69" t="s">
        <v>982</v>
      </c>
      <c r="C160" s="214" t="s">
        <v>924</v>
      </c>
      <c r="D160" s="183" t="s">
        <v>983</v>
      </c>
      <c r="E160" s="70"/>
      <c r="L160" s="61"/>
      <c r="M160" s="62"/>
      <c r="N160" s="63"/>
      <c r="O160" s="62"/>
      <c r="P160" s="63"/>
      <c r="Q160" s="62"/>
      <c r="R160" s="63"/>
      <c r="S160" s="62"/>
      <c r="T160" s="63"/>
      <c r="U160" s="62"/>
      <c r="V160" s="63"/>
      <c r="W160" s="62">
        <v>0.0</v>
      </c>
      <c r="X160" s="117"/>
      <c r="Y160" s="173"/>
      <c r="Z160" s="65"/>
    </row>
    <row r="161" ht="14.25" customHeight="1">
      <c r="B161" s="69"/>
      <c r="C161" s="70"/>
      <c r="D161" s="168" t="s">
        <v>984</v>
      </c>
      <c r="L161" s="61"/>
      <c r="M161" s="62"/>
      <c r="N161" s="63"/>
      <c r="O161" s="62"/>
      <c r="P161" s="63"/>
      <c r="Q161" s="62"/>
      <c r="R161" s="63"/>
      <c r="S161" s="62"/>
      <c r="T161" s="63"/>
      <c r="U161" s="62"/>
      <c r="V161" s="63"/>
      <c r="W161" s="62">
        <v>0.0</v>
      </c>
      <c r="X161" s="117"/>
      <c r="Y161" s="173"/>
      <c r="Z161" s="65"/>
    </row>
    <row r="162" ht="14.25" customHeight="1">
      <c r="B162" s="69" t="s">
        <v>403</v>
      </c>
      <c r="C162" s="70"/>
      <c r="D162" s="77" t="s">
        <v>133</v>
      </c>
      <c r="E162" s="77"/>
      <c r="L162" s="61"/>
      <c r="M162" s="62"/>
      <c r="N162" s="63"/>
      <c r="O162" s="62"/>
      <c r="P162" s="63"/>
      <c r="Q162" s="62"/>
      <c r="R162" s="63"/>
      <c r="S162" s="62"/>
      <c r="T162" s="63"/>
      <c r="U162" s="62"/>
      <c r="V162" s="63"/>
      <c r="W162" s="62">
        <v>0.0</v>
      </c>
      <c r="X162" s="117"/>
      <c r="Y162" s="173"/>
      <c r="Z162" s="65"/>
    </row>
    <row r="163" ht="14.25" customHeight="1">
      <c r="B163" s="69"/>
      <c r="C163" s="70"/>
      <c r="D163" s="70" t="s">
        <v>985</v>
      </c>
      <c r="E163" s="70"/>
      <c r="L163" s="61"/>
      <c r="M163" s="62"/>
      <c r="N163" s="63"/>
      <c r="O163" s="62"/>
      <c r="P163" s="63"/>
      <c r="Q163" s="62"/>
      <c r="R163" s="63"/>
      <c r="S163" s="62"/>
      <c r="T163" s="63"/>
      <c r="U163" s="62"/>
      <c r="V163" s="63"/>
      <c r="W163" s="62">
        <v>0.0</v>
      </c>
      <c r="X163" s="117"/>
      <c r="Y163" s="173"/>
      <c r="Z163" s="65"/>
    </row>
    <row r="164" ht="14.25" customHeight="1">
      <c r="B164" s="69"/>
      <c r="C164" s="70"/>
      <c r="D164" s="70" t="s">
        <v>986</v>
      </c>
      <c r="E164" s="70"/>
      <c r="L164" s="61"/>
      <c r="M164" s="62"/>
      <c r="N164" s="63"/>
      <c r="O164" s="62"/>
      <c r="P164" s="63"/>
      <c r="Q164" s="62"/>
      <c r="R164" s="63"/>
      <c r="S164" s="62"/>
      <c r="T164" s="63"/>
      <c r="U164" s="62"/>
      <c r="V164" s="63"/>
      <c r="W164" s="62">
        <v>0.0</v>
      </c>
      <c r="X164" s="117"/>
      <c r="Y164" s="173"/>
      <c r="Z164" s="65"/>
    </row>
    <row r="165" ht="14.25" customHeight="1">
      <c r="B165" s="69"/>
      <c r="C165" s="70"/>
      <c r="D165" s="70" t="s">
        <v>1187</v>
      </c>
      <c r="E165" s="70"/>
      <c r="L165" s="61"/>
      <c r="M165" s="62"/>
      <c r="N165" s="63"/>
      <c r="O165" s="62"/>
      <c r="P165" s="63"/>
      <c r="Q165" s="62"/>
      <c r="R165" s="63"/>
      <c r="S165" s="62"/>
      <c r="T165" s="63"/>
      <c r="U165" s="62"/>
      <c r="V165" s="63"/>
      <c r="W165" s="62">
        <v>0.0</v>
      </c>
      <c r="X165" s="117"/>
      <c r="Y165" s="173"/>
      <c r="Z165" s="65"/>
    </row>
    <row r="166" ht="14.25" customHeight="1">
      <c r="B166" s="69"/>
      <c r="C166" s="70"/>
      <c r="D166" s="70" t="s">
        <v>1188</v>
      </c>
      <c r="E166" s="70"/>
      <c r="L166" s="61"/>
      <c r="M166" s="62"/>
      <c r="N166" s="63"/>
      <c r="O166" s="62"/>
      <c r="P166" s="63"/>
      <c r="Q166" s="62"/>
      <c r="R166" s="63"/>
      <c r="S166" s="62"/>
      <c r="T166" s="63"/>
      <c r="U166" s="62"/>
      <c r="V166" s="63"/>
      <c r="W166" s="62">
        <v>0.0</v>
      </c>
      <c r="X166" s="117"/>
      <c r="Y166" s="173"/>
      <c r="Z166" s="65"/>
    </row>
    <row r="167" ht="14.25" customHeight="1">
      <c r="B167" s="69"/>
      <c r="C167" s="70"/>
      <c r="D167" s="70" t="s">
        <v>997</v>
      </c>
      <c r="E167" s="70"/>
      <c r="L167" s="61"/>
      <c r="M167" s="62"/>
      <c r="N167" s="63"/>
      <c r="O167" s="62"/>
      <c r="P167" s="63"/>
      <c r="Q167" s="62"/>
      <c r="R167" s="63"/>
      <c r="S167" s="62"/>
      <c r="T167" s="63"/>
      <c r="U167" s="62"/>
      <c r="V167" s="63"/>
      <c r="W167" s="62">
        <v>0.0</v>
      </c>
      <c r="X167" s="117"/>
      <c r="Y167" s="173"/>
      <c r="Z167" s="65"/>
    </row>
    <row r="168" ht="14.25" customHeight="1">
      <c r="B168" s="69"/>
      <c r="C168" s="70"/>
      <c r="D168" s="70" t="s">
        <v>998</v>
      </c>
      <c r="E168" s="70"/>
      <c r="L168" s="61"/>
      <c r="M168" s="62"/>
      <c r="N168" s="63"/>
      <c r="O168" s="62"/>
      <c r="P168" s="63"/>
      <c r="Q168" s="62"/>
      <c r="R168" s="63"/>
      <c r="S168" s="62"/>
      <c r="T168" s="63"/>
      <c r="U168" s="62"/>
      <c r="V168" s="63"/>
      <c r="W168" s="62">
        <v>0.0</v>
      </c>
      <c r="X168" s="117"/>
      <c r="Y168" s="173"/>
      <c r="Z168" s="65"/>
    </row>
    <row r="169" ht="14.25" customHeight="1">
      <c r="B169" s="69"/>
      <c r="C169" s="70"/>
      <c r="D169" s="77"/>
      <c r="E169" s="70"/>
      <c r="L169" s="61"/>
      <c r="M169" s="62"/>
      <c r="N169" s="63"/>
      <c r="O169" s="62"/>
      <c r="P169" s="63"/>
      <c r="Q169" s="62"/>
      <c r="R169" s="63"/>
      <c r="S169" s="62"/>
      <c r="T169" s="63"/>
      <c r="U169" s="62"/>
      <c r="V169" s="63"/>
      <c r="W169" s="62"/>
      <c r="X169" s="117"/>
      <c r="Y169" s="173"/>
      <c r="Z169" s="65"/>
    </row>
    <row r="170" ht="14.25" customHeight="1">
      <c r="B170" s="148" t="s">
        <v>991</v>
      </c>
      <c r="C170" s="144" t="s">
        <v>992</v>
      </c>
      <c r="D170" s="144"/>
      <c r="E170" s="144"/>
      <c r="L170" s="61"/>
      <c r="M170" s="62"/>
      <c r="N170" s="63"/>
      <c r="O170" s="62"/>
      <c r="P170" s="63"/>
      <c r="Q170" s="62"/>
      <c r="R170" s="63"/>
      <c r="S170" s="62"/>
      <c r="T170" s="63"/>
      <c r="U170" s="62"/>
      <c r="V170" s="63"/>
      <c r="W170" s="62"/>
      <c r="X170" s="117"/>
      <c r="Y170" s="173"/>
      <c r="Z170" s="65"/>
    </row>
    <row r="171" ht="14.25" customHeight="1">
      <c r="B171" s="69"/>
      <c r="C171" s="144"/>
      <c r="D171" s="144" t="s">
        <v>993</v>
      </c>
      <c r="E171" s="144"/>
      <c r="L171" s="61"/>
      <c r="M171" s="62"/>
      <c r="N171" s="63"/>
      <c r="O171" s="62"/>
      <c r="P171" s="63"/>
      <c r="Q171" s="62"/>
      <c r="R171" s="63"/>
      <c r="S171" s="62"/>
      <c r="T171" s="63"/>
      <c r="U171" s="62"/>
      <c r="V171" s="63"/>
      <c r="W171" s="62"/>
      <c r="X171" s="117"/>
      <c r="Y171" s="173"/>
      <c r="Z171" s="65"/>
    </row>
    <row r="172" ht="14.25" customHeight="1">
      <c r="B172" s="148"/>
      <c r="C172" s="70"/>
      <c r="D172" s="70" t="s">
        <v>994</v>
      </c>
      <c r="L172" s="61"/>
      <c r="M172" s="62"/>
      <c r="N172" s="63"/>
      <c r="O172" s="62"/>
      <c r="P172" s="63"/>
      <c r="Q172" s="62"/>
      <c r="R172" s="63"/>
      <c r="S172" s="62"/>
      <c r="T172" s="63"/>
      <c r="U172" s="62"/>
      <c r="V172" s="63"/>
      <c r="W172" s="62"/>
      <c r="X172" s="117"/>
      <c r="Y172" s="173"/>
      <c r="Z172" s="65"/>
    </row>
    <row r="173" ht="14.25" customHeight="1">
      <c r="B173" s="148"/>
      <c r="C173" s="144"/>
      <c r="D173" s="77" t="s">
        <v>133</v>
      </c>
      <c r="E173" s="70"/>
      <c r="L173" s="61"/>
      <c r="M173" s="62"/>
      <c r="N173" s="63"/>
      <c r="O173" s="62"/>
      <c r="P173" s="63"/>
      <c r="Q173" s="62"/>
      <c r="R173" s="63"/>
      <c r="S173" s="62"/>
      <c r="T173" s="63"/>
      <c r="U173" s="62"/>
      <c r="V173" s="63"/>
      <c r="W173" s="62"/>
      <c r="X173" s="117"/>
      <c r="Y173" s="173"/>
      <c r="Z173" s="65"/>
    </row>
    <row r="174" ht="14.25" customHeight="1">
      <c r="B174" s="148"/>
      <c r="C174" s="144"/>
      <c r="D174" s="70" t="s">
        <v>985</v>
      </c>
      <c r="E174" s="70"/>
      <c r="L174" s="61"/>
      <c r="M174" s="62"/>
      <c r="N174" s="63"/>
      <c r="O174" s="62"/>
      <c r="P174" s="63"/>
      <c r="Q174" s="62"/>
      <c r="R174" s="63"/>
      <c r="S174" s="62"/>
      <c r="T174" s="63"/>
      <c r="U174" s="62"/>
      <c r="V174" s="63"/>
      <c r="W174" s="62"/>
      <c r="X174" s="117"/>
      <c r="Y174" s="173"/>
      <c r="Z174" s="65"/>
    </row>
    <row r="175" ht="14.25" customHeight="1">
      <c r="B175" s="148"/>
      <c r="C175" s="144"/>
      <c r="D175" s="70" t="s">
        <v>986</v>
      </c>
      <c r="E175" s="70"/>
      <c r="L175" s="61"/>
      <c r="M175" s="62"/>
      <c r="N175" s="63"/>
      <c r="O175" s="62"/>
      <c r="P175" s="63"/>
      <c r="Q175" s="62"/>
      <c r="R175" s="63"/>
      <c r="S175" s="62"/>
      <c r="T175" s="63"/>
      <c r="U175" s="62"/>
      <c r="V175" s="63"/>
      <c r="W175" s="62"/>
      <c r="X175" s="117"/>
      <c r="Y175" s="173"/>
      <c r="Z175" s="65"/>
    </row>
    <row r="176" ht="14.25" customHeight="1">
      <c r="B176" s="148"/>
      <c r="C176" s="144"/>
      <c r="D176" s="70" t="s">
        <v>995</v>
      </c>
      <c r="E176" s="70"/>
      <c r="L176" s="61"/>
      <c r="M176" s="62"/>
      <c r="N176" s="63"/>
      <c r="O176" s="62"/>
      <c r="P176" s="63"/>
      <c r="Q176" s="62"/>
      <c r="R176" s="63"/>
      <c r="S176" s="62"/>
      <c r="T176" s="63"/>
      <c r="U176" s="62"/>
      <c r="V176" s="63"/>
      <c r="W176" s="62"/>
      <c r="X176" s="117"/>
      <c r="Y176" s="173"/>
      <c r="Z176" s="65"/>
    </row>
    <row r="177" ht="14.25" customHeight="1">
      <c r="B177" s="148"/>
      <c r="C177" s="144"/>
      <c r="D177" s="70" t="s">
        <v>996</v>
      </c>
      <c r="E177" s="70"/>
      <c r="L177" s="61"/>
      <c r="M177" s="62"/>
      <c r="N177" s="63"/>
      <c r="O177" s="62"/>
      <c r="P177" s="63"/>
      <c r="Q177" s="62"/>
      <c r="R177" s="63"/>
      <c r="S177" s="62"/>
      <c r="T177" s="63"/>
      <c r="U177" s="62"/>
      <c r="V177" s="63"/>
      <c r="W177" s="62"/>
      <c r="X177" s="117"/>
      <c r="Y177" s="173"/>
      <c r="Z177" s="65"/>
    </row>
    <row r="178" ht="14.25" customHeight="1">
      <c r="B178" s="148"/>
      <c r="C178" s="144"/>
      <c r="D178" s="70" t="s">
        <v>997</v>
      </c>
      <c r="E178" s="70"/>
      <c r="L178" s="61"/>
      <c r="M178" s="62"/>
      <c r="N178" s="63"/>
      <c r="O178" s="62"/>
      <c r="P178" s="63"/>
      <c r="Q178" s="62"/>
      <c r="R178" s="63"/>
      <c r="S178" s="62"/>
      <c r="T178" s="63"/>
      <c r="U178" s="62"/>
      <c r="V178" s="63"/>
      <c r="W178" s="62"/>
      <c r="X178" s="117"/>
      <c r="Y178" s="173"/>
      <c r="Z178" s="65"/>
    </row>
    <row r="179" ht="14.25" customHeight="1">
      <c r="B179" s="148"/>
      <c r="C179" s="144"/>
      <c r="D179" s="70" t="s">
        <v>998</v>
      </c>
      <c r="E179" s="70"/>
      <c r="L179" s="61"/>
      <c r="M179" s="62"/>
      <c r="N179" s="63"/>
      <c r="O179" s="62"/>
      <c r="P179" s="63"/>
      <c r="Q179" s="62"/>
      <c r="R179" s="63"/>
      <c r="S179" s="62"/>
      <c r="T179" s="63"/>
      <c r="U179" s="62"/>
      <c r="V179" s="63"/>
      <c r="W179" s="62"/>
      <c r="X179" s="117"/>
      <c r="Y179" s="173"/>
      <c r="Z179" s="65"/>
    </row>
    <row r="180" ht="14.25" customHeight="1">
      <c r="B180" s="148"/>
      <c r="C180" s="144"/>
      <c r="D180" s="70" t="s">
        <v>999</v>
      </c>
      <c r="E180" s="70"/>
      <c r="L180" s="61"/>
      <c r="M180" s="62"/>
      <c r="N180" s="63"/>
      <c r="O180" s="62"/>
      <c r="P180" s="63"/>
      <c r="Q180" s="62"/>
      <c r="R180" s="63"/>
      <c r="S180" s="62"/>
      <c r="T180" s="63"/>
      <c r="U180" s="62"/>
      <c r="V180" s="63"/>
      <c r="W180" s="62"/>
      <c r="X180" s="117"/>
      <c r="Y180" s="173"/>
      <c r="Z180" s="65"/>
    </row>
    <row r="181" ht="14.25" customHeight="1">
      <c r="B181" s="148"/>
      <c r="C181" s="144"/>
      <c r="D181" s="70"/>
      <c r="E181" s="70"/>
      <c r="L181" s="61"/>
      <c r="M181" s="62"/>
      <c r="N181" s="63"/>
      <c r="O181" s="62"/>
      <c r="P181" s="63"/>
      <c r="Q181" s="62"/>
      <c r="R181" s="63"/>
      <c r="S181" s="62"/>
      <c r="T181" s="63"/>
      <c r="U181" s="62"/>
      <c r="V181" s="63"/>
      <c r="W181" s="62"/>
      <c r="X181" s="117"/>
      <c r="Y181" s="173"/>
      <c r="Z181" s="65"/>
    </row>
    <row r="182" ht="14.25" customHeight="1">
      <c r="B182" s="69"/>
      <c r="C182" s="144"/>
      <c r="D182" s="144" t="s">
        <v>1000</v>
      </c>
      <c r="E182" s="144"/>
      <c r="L182" s="61"/>
      <c r="M182" s="62"/>
      <c r="N182" s="63"/>
      <c r="O182" s="62"/>
      <c r="P182" s="63"/>
      <c r="Q182" s="62"/>
      <c r="R182" s="63"/>
      <c r="S182" s="62"/>
      <c r="T182" s="63"/>
      <c r="U182" s="62"/>
      <c r="V182" s="63"/>
      <c r="W182" s="62"/>
      <c r="X182" s="117"/>
      <c r="Y182" s="173"/>
      <c r="Z182" s="65"/>
    </row>
    <row r="183" ht="14.25" customHeight="1">
      <c r="B183" s="148"/>
      <c r="C183" s="70"/>
      <c r="D183" s="70" t="s">
        <v>1001</v>
      </c>
      <c r="L183" s="61"/>
      <c r="M183" s="62"/>
      <c r="N183" s="63"/>
      <c r="O183" s="62"/>
      <c r="P183" s="63"/>
      <c r="Q183" s="62"/>
      <c r="R183" s="63"/>
      <c r="S183" s="62"/>
      <c r="T183" s="63"/>
      <c r="U183" s="62"/>
      <c r="V183" s="63"/>
      <c r="W183" s="62"/>
      <c r="X183" s="117"/>
      <c r="Y183" s="173"/>
      <c r="Z183" s="65"/>
    </row>
    <row r="184" ht="14.25" customHeight="1">
      <c r="B184" s="148"/>
      <c r="C184" s="144"/>
      <c r="D184" s="70" t="s">
        <v>1002</v>
      </c>
      <c r="E184" s="70"/>
      <c r="L184" s="61"/>
      <c r="M184" s="62"/>
      <c r="N184" s="63"/>
      <c r="O184" s="62"/>
      <c r="P184" s="63"/>
      <c r="Q184" s="62"/>
      <c r="R184" s="63"/>
      <c r="S184" s="62"/>
      <c r="T184" s="63"/>
      <c r="U184" s="62"/>
      <c r="V184" s="63"/>
      <c r="W184" s="62"/>
      <c r="X184" s="117"/>
      <c r="Y184" s="173"/>
      <c r="Z184" s="65"/>
    </row>
    <row r="185" ht="14.25" customHeight="1">
      <c r="B185" s="148"/>
      <c r="C185" s="144"/>
      <c r="D185" s="70" t="s">
        <v>985</v>
      </c>
      <c r="E185" s="70"/>
      <c r="L185" s="61"/>
      <c r="M185" s="62"/>
      <c r="N185" s="63"/>
      <c r="O185" s="62"/>
      <c r="P185" s="63"/>
      <c r="Q185" s="62"/>
      <c r="R185" s="63"/>
      <c r="S185" s="62"/>
      <c r="T185" s="63"/>
      <c r="U185" s="62"/>
      <c r="V185" s="63"/>
      <c r="W185" s="62"/>
      <c r="X185" s="117"/>
      <c r="Y185" s="173"/>
      <c r="Z185" s="65"/>
    </row>
    <row r="186" ht="14.25" customHeight="1">
      <c r="B186" s="148"/>
      <c r="C186" s="144"/>
      <c r="D186" s="70" t="s">
        <v>986</v>
      </c>
      <c r="E186" s="70"/>
      <c r="L186" s="61"/>
      <c r="M186" s="62"/>
      <c r="N186" s="63"/>
      <c r="O186" s="62"/>
      <c r="P186" s="63"/>
      <c r="Q186" s="62"/>
      <c r="R186" s="63"/>
      <c r="S186" s="62"/>
      <c r="T186" s="63"/>
      <c r="U186" s="62"/>
      <c r="V186" s="63"/>
      <c r="W186" s="62"/>
      <c r="X186" s="117"/>
      <c r="Y186" s="173"/>
      <c r="Z186" s="65"/>
    </row>
    <row r="187" ht="14.25" customHeight="1">
      <c r="B187" s="148"/>
      <c r="C187" s="144"/>
      <c r="D187" s="70" t="s">
        <v>995</v>
      </c>
      <c r="E187" s="70"/>
      <c r="L187" s="61"/>
      <c r="M187" s="62"/>
      <c r="N187" s="63"/>
      <c r="O187" s="62"/>
      <c r="P187" s="63"/>
      <c r="Q187" s="62"/>
      <c r="R187" s="63"/>
      <c r="S187" s="62"/>
      <c r="T187" s="63"/>
      <c r="U187" s="62"/>
      <c r="V187" s="63"/>
      <c r="W187" s="62"/>
      <c r="X187" s="117"/>
      <c r="Y187" s="173"/>
      <c r="Z187" s="65"/>
    </row>
    <row r="188" ht="14.25" customHeight="1">
      <c r="B188" s="148"/>
      <c r="C188" s="144"/>
      <c r="D188" s="70" t="s">
        <v>1003</v>
      </c>
      <c r="E188" s="70"/>
      <c r="L188" s="61"/>
      <c r="M188" s="62"/>
      <c r="N188" s="63"/>
      <c r="O188" s="62"/>
      <c r="P188" s="63"/>
      <c r="Q188" s="62"/>
      <c r="R188" s="63"/>
      <c r="S188" s="62"/>
      <c r="T188" s="63"/>
      <c r="U188" s="62"/>
      <c r="V188" s="63"/>
      <c r="W188" s="62"/>
      <c r="X188" s="117"/>
      <c r="Y188" s="173"/>
      <c r="Z188" s="65"/>
    </row>
    <row r="189" ht="14.25" customHeight="1">
      <c r="B189" s="148"/>
      <c r="C189" s="144"/>
      <c r="D189" s="70" t="s">
        <v>998</v>
      </c>
      <c r="E189" s="70"/>
      <c r="L189" s="61"/>
      <c r="M189" s="62"/>
      <c r="N189" s="63"/>
      <c r="O189" s="62"/>
      <c r="P189" s="63"/>
      <c r="Q189" s="62"/>
      <c r="R189" s="63"/>
      <c r="S189" s="62"/>
      <c r="T189" s="63"/>
      <c r="U189" s="62"/>
      <c r="V189" s="63"/>
      <c r="W189" s="62"/>
      <c r="X189" s="117"/>
      <c r="Y189" s="173"/>
      <c r="Z189" s="65"/>
    </row>
    <row r="190" ht="14.25" customHeight="1">
      <c r="B190" s="148"/>
      <c r="C190" s="144"/>
      <c r="D190" s="70" t="s">
        <v>999</v>
      </c>
      <c r="E190" s="70"/>
      <c r="L190" s="61"/>
      <c r="M190" s="62"/>
      <c r="N190" s="63"/>
      <c r="O190" s="62"/>
      <c r="P190" s="63"/>
      <c r="Q190" s="62"/>
      <c r="R190" s="63"/>
      <c r="S190" s="62"/>
      <c r="T190" s="63"/>
      <c r="U190" s="62"/>
      <c r="V190" s="63"/>
      <c r="W190" s="62"/>
      <c r="X190" s="117"/>
      <c r="Y190" s="173"/>
      <c r="Z190" s="65"/>
    </row>
    <row r="191" ht="14.25" customHeight="1">
      <c r="B191" s="148"/>
      <c r="C191" s="144"/>
      <c r="D191" s="70" t="s">
        <v>1005</v>
      </c>
      <c r="E191" s="70"/>
      <c r="L191" s="61"/>
      <c r="M191" s="62"/>
      <c r="N191" s="63"/>
      <c r="O191" s="62"/>
      <c r="P191" s="63"/>
      <c r="Q191" s="62"/>
      <c r="R191" s="63"/>
      <c r="S191" s="62"/>
      <c r="T191" s="63"/>
      <c r="U191" s="62"/>
      <c r="V191" s="63"/>
      <c r="W191" s="62"/>
      <c r="X191" s="117"/>
      <c r="Y191" s="173"/>
      <c r="Z191" s="65"/>
    </row>
    <row r="192" ht="14.25" customHeight="1">
      <c r="B192" s="148"/>
      <c r="C192" s="144"/>
      <c r="D192" s="70"/>
      <c r="E192" s="70"/>
      <c r="L192" s="61"/>
      <c r="M192" s="62"/>
      <c r="N192" s="63"/>
      <c r="O192" s="62"/>
      <c r="P192" s="63"/>
      <c r="Q192" s="62"/>
      <c r="R192" s="63"/>
      <c r="S192" s="62"/>
      <c r="T192" s="63"/>
      <c r="U192" s="62"/>
      <c r="V192" s="63"/>
      <c r="W192" s="62"/>
      <c r="X192" s="117"/>
      <c r="Y192" s="173"/>
      <c r="Z192" s="65"/>
    </row>
    <row r="193" ht="14.25" customHeight="1">
      <c r="B193" s="69"/>
      <c r="C193" s="144"/>
      <c r="D193" s="144" t="s">
        <v>1006</v>
      </c>
      <c r="E193" s="144"/>
      <c r="L193" s="61"/>
      <c r="M193" s="62"/>
      <c r="N193" s="63"/>
      <c r="O193" s="62"/>
      <c r="P193" s="63"/>
      <c r="Q193" s="62"/>
      <c r="R193" s="63"/>
      <c r="S193" s="62"/>
      <c r="T193" s="63"/>
      <c r="U193" s="62"/>
      <c r="V193" s="63"/>
      <c r="W193" s="62">
        <v>11.0</v>
      </c>
      <c r="X193" s="117"/>
      <c r="Y193" s="173"/>
      <c r="Z193" s="65"/>
    </row>
    <row r="194" ht="14.25" customHeight="1">
      <c r="B194" s="148"/>
      <c r="C194" s="70"/>
      <c r="D194" s="70" t="s">
        <v>1007</v>
      </c>
      <c r="L194" s="61"/>
      <c r="M194" s="62"/>
      <c r="N194" s="63"/>
      <c r="O194" s="62"/>
      <c r="P194" s="63"/>
      <c r="Q194" s="62"/>
      <c r="R194" s="63"/>
      <c r="S194" s="62"/>
      <c r="T194" s="63"/>
      <c r="U194" s="62"/>
      <c r="V194" s="63"/>
      <c r="W194" s="62"/>
      <c r="X194" s="117"/>
      <c r="Y194" s="173"/>
      <c r="Z194" s="65"/>
    </row>
    <row r="195" ht="14.25" customHeight="1">
      <c r="B195" s="148"/>
      <c r="C195" s="144"/>
      <c r="D195" s="70" t="s">
        <v>1002</v>
      </c>
      <c r="E195" s="70"/>
      <c r="L195" s="61"/>
      <c r="M195" s="62"/>
      <c r="N195" s="63"/>
      <c r="O195" s="62"/>
      <c r="P195" s="63"/>
      <c r="Q195" s="62"/>
      <c r="R195" s="63"/>
      <c r="S195" s="62"/>
      <c r="T195" s="63"/>
      <c r="U195" s="62"/>
      <c r="V195" s="63"/>
      <c r="W195" s="62"/>
      <c r="X195" s="117"/>
      <c r="Y195" s="173"/>
      <c r="Z195" s="65"/>
    </row>
    <row r="196" ht="14.25" customHeight="1">
      <c r="B196" s="148"/>
      <c r="C196" s="144"/>
      <c r="D196" s="70" t="s">
        <v>985</v>
      </c>
      <c r="E196" s="70"/>
      <c r="L196" s="61"/>
      <c r="M196" s="62"/>
      <c r="N196" s="63"/>
      <c r="O196" s="62"/>
      <c r="P196" s="63"/>
      <c r="Q196" s="62"/>
      <c r="R196" s="63"/>
      <c r="S196" s="62"/>
      <c r="T196" s="63"/>
      <c r="U196" s="62"/>
      <c r="V196" s="63"/>
      <c r="W196" s="62"/>
      <c r="X196" s="117"/>
      <c r="Y196" s="173"/>
      <c r="Z196" s="65"/>
    </row>
    <row r="197" ht="14.25" customHeight="1">
      <c r="B197" s="148"/>
      <c r="C197" s="144"/>
      <c r="D197" s="70" t="s">
        <v>986</v>
      </c>
      <c r="E197" s="70"/>
      <c r="L197" s="61"/>
      <c r="M197" s="62"/>
      <c r="N197" s="63"/>
      <c r="O197" s="62"/>
      <c r="P197" s="63"/>
      <c r="Q197" s="62"/>
      <c r="R197" s="63"/>
      <c r="S197" s="62"/>
      <c r="T197" s="63"/>
      <c r="U197" s="62"/>
      <c r="V197" s="63"/>
      <c r="W197" s="62"/>
      <c r="X197" s="117"/>
      <c r="Y197" s="173"/>
      <c r="Z197" s="65"/>
    </row>
    <row r="198" ht="14.25" customHeight="1">
      <c r="B198" s="148"/>
      <c r="C198" s="144"/>
      <c r="D198" s="70" t="s">
        <v>995</v>
      </c>
      <c r="E198" s="70"/>
      <c r="L198" s="61"/>
      <c r="M198" s="62"/>
      <c r="N198" s="63"/>
      <c r="O198" s="62"/>
      <c r="P198" s="63"/>
      <c r="Q198" s="62"/>
      <c r="R198" s="63"/>
      <c r="S198" s="62"/>
      <c r="T198" s="63"/>
      <c r="U198" s="62"/>
      <c r="V198" s="63"/>
      <c r="W198" s="62"/>
      <c r="X198" s="117"/>
      <c r="Y198" s="173"/>
      <c r="Z198" s="65"/>
    </row>
    <row r="199" ht="14.25" customHeight="1">
      <c r="B199" s="148"/>
      <c r="C199" s="144"/>
      <c r="D199" s="70" t="s">
        <v>996</v>
      </c>
      <c r="E199" s="70"/>
      <c r="L199" s="61"/>
      <c r="M199" s="62"/>
      <c r="N199" s="63"/>
      <c r="O199" s="62"/>
      <c r="P199" s="63"/>
      <c r="Q199" s="62"/>
      <c r="R199" s="63"/>
      <c r="S199" s="62"/>
      <c r="T199" s="63"/>
      <c r="U199" s="62"/>
      <c r="V199" s="63"/>
      <c r="W199" s="62"/>
      <c r="X199" s="117"/>
      <c r="Y199" s="173"/>
      <c r="Z199" s="65"/>
    </row>
    <row r="200" ht="14.25" customHeight="1">
      <c r="B200" s="148"/>
      <c r="C200" s="144"/>
      <c r="D200" s="70" t="s">
        <v>997</v>
      </c>
      <c r="E200" s="70"/>
      <c r="L200" s="61"/>
      <c r="M200" s="62"/>
      <c r="N200" s="63"/>
      <c r="O200" s="62"/>
      <c r="P200" s="63"/>
      <c r="Q200" s="62"/>
      <c r="R200" s="63"/>
      <c r="S200" s="62"/>
      <c r="T200" s="63"/>
      <c r="U200" s="62"/>
      <c r="V200" s="63"/>
      <c r="W200" s="62"/>
      <c r="X200" s="117"/>
      <c r="Y200" s="173"/>
      <c r="Z200" s="65"/>
    </row>
    <row r="201" ht="14.25" customHeight="1">
      <c r="B201" s="148"/>
      <c r="C201" s="144"/>
      <c r="D201" s="70" t="s">
        <v>998</v>
      </c>
      <c r="E201" s="70"/>
      <c r="L201" s="61"/>
      <c r="M201" s="62"/>
      <c r="N201" s="63"/>
      <c r="O201" s="62"/>
      <c r="P201" s="63"/>
      <c r="Q201" s="62"/>
      <c r="R201" s="63"/>
      <c r="S201" s="62"/>
      <c r="T201" s="63"/>
      <c r="U201" s="62"/>
      <c r="V201" s="63"/>
      <c r="W201" s="62"/>
      <c r="X201" s="117"/>
      <c r="Y201" s="173"/>
      <c r="Z201" s="65"/>
    </row>
    <row r="202" ht="14.25" customHeight="1">
      <c r="B202" s="148"/>
      <c r="C202" s="144"/>
      <c r="D202" s="70" t="s">
        <v>999</v>
      </c>
      <c r="E202" s="70"/>
      <c r="L202" s="61"/>
      <c r="M202" s="62"/>
      <c r="N202" s="63"/>
      <c r="O202" s="62"/>
      <c r="P202" s="63"/>
      <c r="Q202" s="62"/>
      <c r="R202" s="63"/>
      <c r="S202" s="62"/>
      <c r="T202" s="63"/>
      <c r="U202" s="62"/>
      <c r="V202" s="63"/>
      <c r="W202" s="62"/>
      <c r="X202" s="117"/>
      <c r="Y202" s="173"/>
      <c r="Z202" s="65"/>
    </row>
    <row r="203" ht="14.25" customHeight="1">
      <c r="B203" s="148"/>
      <c r="C203" s="144"/>
      <c r="D203" s="70"/>
      <c r="E203" s="70"/>
      <c r="L203" s="61"/>
      <c r="M203" s="62"/>
      <c r="N203" s="63"/>
      <c r="O203" s="62"/>
      <c r="P203" s="63"/>
      <c r="Q203" s="62"/>
      <c r="R203" s="63"/>
      <c r="S203" s="62"/>
      <c r="T203" s="63"/>
      <c r="U203" s="62"/>
      <c r="V203" s="63"/>
      <c r="W203" s="62"/>
      <c r="X203" s="117"/>
      <c r="Y203" s="173"/>
      <c r="Z203" s="65"/>
    </row>
    <row r="204" ht="14.25" customHeight="1">
      <c r="B204" s="69"/>
      <c r="C204" s="144"/>
      <c r="D204" s="144" t="s">
        <v>1012</v>
      </c>
      <c r="E204" s="144"/>
      <c r="L204" s="61"/>
      <c r="M204" s="62"/>
      <c r="N204" s="63"/>
      <c r="O204" s="62"/>
      <c r="P204" s="63"/>
      <c r="Q204" s="62"/>
      <c r="R204" s="63"/>
      <c r="S204" s="62"/>
      <c r="T204" s="63"/>
      <c r="U204" s="62"/>
      <c r="V204" s="63"/>
      <c r="W204" s="62"/>
      <c r="X204" s="117"/>
      <c r="Y204" s="173"/>
      <c r="Z204" s="65"/>
    </row>
    <row r="205" ht="14.25" customHeight="1">
      <c r="B205" s="148"/>
      <c r="C205" s="70"/>
      <c r="D205" s="70" t="s">
        <v>1013</v>
      </c>
      <c r="L205" s="61"/>
      <c r="M205" s="62"/>
      <c r="N205" s="63"/>
      <c r="O205" s="62"/>
      <c r="P205" s="63"/>
      <c r="Q205" s="62"/>
      <c r="R205" s="63"/>
      <c r="S205" s="62"/>
      <c r="T205" s="63"/>
      <c r="U205" s="62"/>
      <c r="V205" s="63"/>
      <c r="W205" s="62"/>
      <c r="X205" s="117"/>
      <c r="Y205" s="173"/>
      <c r="Z205" s="65"/>
    </row>
    <row r="206" ht="14.25" customHeight="1">
      <c r="B206" s="148"/>
      <c r="C206" s="144"/>
      <c r="D206" s="70" t="s">
        <v>1002</v>
      </c>
      <c r="E206" s="70"/>
      <c r="L206" s="61"/>
      <c r="M206" s="62"/>
      <c r="N206" s="63"/>
      <c r="O206" s="62"/>
      <c r="P206" s="63"/>
      <c r="Q206" s="62"/>
      <c r="R206" s="63"/>
      <c r="S206" s="62"/>
      <c r="T206" s="63"/>
      <c r="U206" s="62"/>
      <c r="V206" s="63"/>
      <c r="W206" s="62"/>
      <c r="X206" s="117"/>
      <c r="Y206" s="173"/>
      <c r="Z206" s="65"/>
    </row>
    <row r="207" ht="14.25" customHeight="1">
      <c r="B207" s="148"/>
      <c r="C207" s="144"/>
      <c r="D207" s="70" t="s">
        <v>985</v>
      </c>
      <c r="E207" s="70"/>
      <c r="L207" s="61"/>
      <c r="M207" s="62"/>
      <c r="N207" s="63"/>
      <c r="O207" s="62"/>
      <c r="P207" s="63"/>
      <c r="Q207" s="62"/>
      <c r="R207" s="63"/>
      <c r="S207" s="62"/>
      <c r="T207" s="63"/>
      <c r="U207" s="62"/>
      <c r="V207" s="63"/>
      <c r="W207" s="62"/>
      <c r="X207" s="117"/>
      <c r="Y207" s="173"/>
      <c r="Z207" s="65"/>
    </row>
    <row r="208" ht="14.25" customHeight="1">
      <c r="B208" s="148"/>
      <c r="C208" s="144"/>
      <c r="D208" s="70" t="s">
        <v>986</v>
      </c>
      <c r="E208" s="70"/>
      <c r="L208" s="61"/>
      <c r="M208" s="62"/>
      <c r="N208" s="63"/>
      <c r="O208" s="62"/>
      <c r="P208" s="63"/>
      <c r="Q208" s="62"/>
      <c r="R208" s="63"/>
      <c r="S208" s="62"/>
      <c r="T208" s="63"/>
      <c r="U208" s="62"/>
      <c r="V208" s="63"/>
      <c r="W208" s="62"/>
      <c r="X208" s="117"/>
      <c r="Y208" s="173"/>
      <c r="Z208" s="65"/>
    </row>
    <row r="209" ht="14.25" customHeight="1">
      <c r="B209" s="148"/>
      <c r="C209" s="144"/>
      <c r="D209" s="70" t="s">
        <v>995</v>
      </c>
      <c r="E209" s="70"/>
      <c r="L209" s="61"/>
      <c r="M209" s="62"/>
      <c r="N209" s="63"/>
      <c r="O209" s="62"/>
      <c r="P209" s="63"/>
      <c r="Q209" s="62"/>
      <c r="R209" s="63"/>
      <c r="S209" s="62"/>
      <c r="T209" s="63"/>
      <c r="U209" s="62"/>
      <c r="V209" s="63"/>
      <c r="W209" s="62"/>
      <c r="X209" s="117"/>
      <c r="Y209" s="173"/>
      <c r="Z209" s="65"/>
    </row>
    <row r="210" ht="14.25" customHeight="1">
      <c r="B210" s="148"/>
      <c r="C210" s="144"/>
      <c r="D210" s="70" t="s">
        <v>996</v>
      </c>
      <c r="E210" s="70"/>
      <c r="L210" s="61"/>
      <c r="M210" s="62"/>
      <c r="N210" s="63"/>
      <c r="O210" s="62"/>
      <c r="P210" s="63"/>
      <c r="Q210" s="62"/>
      <c r="R210" s="63"/>
      <c r="S210" s="62"/>
      <c r="T210" s="63"/>
      <c r="U210" s="62"/>
      <c r="V210" s="63"/>
      <c r="W210" s="62"/>
      <c r="X210" s="117"/>
      <c r="Y210" s="173"/>
      <c r="Z210" s="65"/>
    </row>
    <row r="211" ht="14.25" customHeight="1">
      <c r="B211" s="148"/>
      <c r="C211" s="144"/>
      <c r="D211" s="70" t="s">
        <v>1014</v>
      </c>
      <c r="E211" s="70"/>
      <c r="L211" s="61"/>
      <c r="M211" s="62"/>
      <c r="N211" s="63"/>
      <c r="O211" s="62"/>
      <c r="P211" s="63"/>
      <c r="Q211" s="62"/>
      <c r="R211" s="63"/>
      <c r="S211" s="62"/>
      <c r="T211" s="63"/>
      <c r="U211" s="62"/>
      <c r="V211" s="63"/>
      <c r="W211" s="62"/>
      <c r="X211" s="117"/>
      <c r="Y211" s="173"/>
      <c r="Z211" s="65"/>
    </row>
    <row r="212" ht="14.25" customHeight="1">
      <c r="B212" s="148"/>
      <c r="C212" s="144"/>
      <c r="D212" s="70" t="s">
        <v>998</v>
      </c>
      <c r="E212" s="70"/>
      <c r="L212" s="61"/>
      <c r="M212" s="62"/>
      <c r="N212" s="63"/>
      <c r="O212" s="62"/>
      <c r="P212" s="63"/>
      <c r="Q212" s="62"/>
      <c r="R212" s="63"/>
      <c r="S212" s="62"/>
      <c r="T212" s="63"/>
      <c r="U212" s="62"/>
      <c r="V212" s="63"/>
      <c r="W212" s="62"/>
      <c r="X212" s="117"/>
      <c r="Y212" s="173"/>
      <c r="Z212" s="65"/>
    </row>
    <row r="213" ht="14.25" customHeight="1">
      <c r="B213" s="148"/>
      <c r="C213" s="144"/>
      <c r="D213" s="70" t="s">
        <v>999</v>
      </c>
      <c r="E213" s="70"/>
      <c r="L213" s="61"/>
      <c r="M213" s="62"/>
      <c r="N213" s="63"/>
      <c r="O213" s="62"/>
      <c r="P213" s="63"/>
      <c r="Q213" s="62"/>
      <c r="R213" s="63"/>
      <c r="S213" s="62"/>
      <c r="T213" s="63"/>
      <c r="U213" s="62"/>
      <c r="V213" s="63"/>
      <c r="W213" s="62"/>
      <c r="X213" s="117"/>
      <c r="Y213" s="173"/>
      <c r="Z213" s="65"/>
    </row>
    <row r="214" ht="14.25" customHeight="1">
      <c r="B214" s="148"/>
      <c r="C214" s="144"/>
      <c r="D214" s="70"/>
      <c r="E214" s="70"/>
      <c r="L214" s="61"/>
      <c r="M214" s="62"/>
      <c r="N214" s="63"/>
      <c r="O214" s="62"/>
      <c r="P214" s="63"/>
      <c r="Q214" s="62"/>
      <c r="R214" s="63"/>
      <c r="S214" s="62"/>
      <c r="T214" s="63"/>
      <c r="U214" s="62"/>
      <c r="V214" s="63"/>
      <c r="W214" s="62"/>
      <c r="X214" s="117"/>
      <c r="Y214" s="173"/>
      <c r="Z214" s="65"/>
    </row>
    <row r="215" ht="14.25" customHeight="1">
      <c r="B215" s="69"/>
      <c r="C215" s="144"/>
      <c r="D215" s="144" t="s">
        <v>1015</v>
      </c>
      <c r="E215" s="144"/>
      <c r="L215" s="61"/>
      <c r="M215" s="62"/>
      <c r="N215" s="63"/>
      <c r="O215" s="62"/>
      <c r="P215" s="63"/>
      <c r="Q215" s="62"/>
      <c r="R215" s="63"/>
      <c r="S215" s="62"/>
      <c r="T215" s="63"/>
      <c r="U215" s="62"/>
      <c r="V215" s="63"/>
      <c r="W215" s="62"/>
      <c r="X215" s="117"/>
      <c r="Y215" s="173"/>
      <c r="Z215" s="65"/>
    </row>
    <row r="216" ht="14.25" customHeight="1">
      <c r="B216" s="148"/>
      <c r="C216" s="70"/>
      <c r="D216" s="70" t="s">
        <v>1016</v>
      </c>
      <c r="L216" s="61"/>
      <c r="M216" s="62"/>
      <c r="N216" s="63"/>
      <c r="O216" s="62"/>
      <c r="P216" s="63"/>
      <c r="Q216" s="62"/>
      <c r="R216" s="63"/>
      <c r="S216" s="62"/>
      <c r="T216" s="63"/>
      <c r="U216" s="62"/>
      <c r="V216" s="63"/>
      <c r="W216" s="62"/>
      <c r="X216" s="117"/>
      <c r="Y216" s="173"/>
      <c r="Z216" s="65"/>
    </row>
    <row r="217" ht="14.25" customHeight="1">
      <c r="B217" s="148"/>
      <c r="C217" s="144"/>
      <c r="D217" s="70" t="s">
        <v>1002</v>
      </c>
      <c r="E217" s="70"/>
      <c r="L217" s="61"/>
      <c r="M217" s="62"/>
      <c r="N217" s="63"/>
      <c r="O217" s="62"/>
      <c r="P217" s="63"/>
      <c r="Q217" s="62"/>
      <c r="R217" s="63"/>
      <c r="S217" s="62"/>
      <c r="T217" s="63"/>
      <c r="U217" s="62"/>
      <c r="V217" s="63"/>
      <c r="W217" s="62"/>
      <c r="X217" s="117"/>
      <c r="Y217" s="173"/>
      <c r="Z217" s="65"/>
    </row>
    <row r="218" ht="14.25" customHeight="1">
      <c r="B218" s="148"/>
      <c r="C218" s="144"/>
      <c r="D218" s="70" t="s">
        <v>985</v>
      </c>
      <c r="E218" s="70"/>
      <c r="L218" s="61"/>
      <c r="M218" s="62"/>
      <c r="N218" s="63"/>
      <c r="O218" s="62"/>
      <c r="P218" s="63"/>
      <c r="Q218" s="62"/>
      <c r="R218" s="63"/>
      <c r="S218" s="62"/>
      <c r="T218" s="63"/>
      <c r="U218" s="62"/>
      <c r="V218" s="63"/>
      <c r="W218" s="62"/>
      <c r="X218" s="117"/>
      <c r="Y218" s="173"/>
      <c r="Z218" s="65"/>
    </row>
    <row r="219" ht="14.25" customHeight="1">
      <c r="B219" s="148"/>
      <c r="C219" s="144"/>
      <c r="D219" s="70" t="s">
        <v>986</v>
      </c>
      <c r="E219" s="70"/>
      <c r="L219" s="61"/>
      <c r="M219" s="62"/>
      <c r="N219" s="63"/>
      <c r="O219" s="62"/>
      <c r="P219" s="63"/>
      <c r="Q219" s="62"/>
      <c r="R219" s="63"/>
      <c r="S219" s="62"/>
      <c r="T219" s="63"/>
      <c r="U219" s="62"/>
      <c r="V219" s="63"/>
      <c r="W219" s="62"/>
      <c r="X219" s="117"/>
      <c r="Y219" s="173"/>
      <c r="Z219" s="65"/>
    </row>
    <row r="220" ht="14.25" customHeight="1">
      <c r="B220" s="148"/>
      <c r="C220" s="144"/>
      <c r="D220" s="70" t="s">
        <v>995</v>
      </c>
      <c r="E220" s="70"/>
      <c r="L220" s="61"/>
      <c r="M220" s="62"/>
      <c r="N220" s="63"/>
      <c r="O220" s="62"/>
      <c r="P220" s="63"/>
      <c r="Q220" s="62"/>
      <c r="R220" s="63"/>
      <c r="S220" s="62"/>
      <c r="T220" s="63"/>
      <c r="U220" s="62"/>
      <c r="V220" s="63"/>
      <c r="W220" s="62"/>
      <c r="X220" s="117"/>
      <c r="Y220" s="173"/>
      <c r="Z220" s="65"/>
    </row>
    <row r="221" ht="14.25" customHeight="1">
      <c r="B221" s="148"/>
      <c r="C221" s="144"/>
      <c r="D221" s="70" t="s">
        <v>996</v>
      </c>
      <c r="E221" s="70"/>
      <c r="L221" s="61"/>
      <c r="M221" s="62"/>
      <c r="N221" s="63"/>
      <c r="O221" s="62"/>
      <c r="P221" s="63"/>
      <c r="Q221" s="62"/>
      <c r="R221" s="63"/>
      <c r="S221" s="62"/>
      <c r="T221" s="63"/>
      <c r="U221" s="62"/>
      <c r="V221" s="63"/>
      <c r="W221" s="62"/>
      <c r="X221" s="117"/>
      <c r="Y221" s="173"/>
      <c r="Z221" s="65"/>
    </row>
    <row r="222" ht="14.25" customHeight="1">
      <c r="B222" s="148"/>
      <c r="C222" s="144"/>
      <c r="D222" s="70" t="s">
        <v>997</v>
      </c>
      <c r="E222" s="70"/>
      <c r="L222" s="61"/>
      <c r="M222" s="62"/>
      <c r="N222" s="63"/>
      <c r="O222" s="62"/>
      <c r="P222" s="63"/>
      <c r="Q222" s="62"/>
      <c r="R222" s="63"/>
      <c r="S222" s="62"/>
      <c r="T222" s="63"/>
      <c r="U222" s="62"/>
      <c r="V222" s="63"/>
      <c r="W222" s="62"/>
      <c r="X222" s="117"/>
      <c r="Y222" s="173"/>
      <c r="Z222" s="65"/>
    </row>
    <row r="223" ht="14.25" customHeight="1">
      <c r="B223" s="148"/>
      <c r="C223" s="144"/>
      <c r="D223" s="70" t="s">
        <v>998</v>
      </c>
      <c r="E223" s="70"/>
      <c r="L223" s="61"/>
      <c r="M223" s="62"/>
      <c r="N223" s="63"/>
      <c r="O223" s="62"/>
      <c r="P223" s="63"/>
      <c r="Q223" s="62"/>
      <c r="R223" s="63"/>
      <c r="S223" s="62"/>
      <c r="T223" s="63"/>
      <c r="U223" s="62"/>
      <c r="V223" s="63"/>
      <c r="W223" s="62"/>
      <c r="X223" s="117"/>
      <c r="Y223" s="173"/>
      <c r="Z223" s="65"/>
    </row>
    <row r="224" ht="14.25" customHeight="1">
      <c r="B224" s="148"/>
      <c r="C224" s="144"/>
      <c r="D224" s="70" t="s">
        <v>999</v>
      </c>
      <c r="E224" s="70"/>
      <c r="L224" s="61"/>
      <c r="M224" s="62"/>
      <c r="N224" s="63"/>
      <c r="O224" s="62"/>
      <c r="P224" s="63"/>
      <c r="Q224" s="62"/>
      <c r="R224" s="63"/>
      <c r="S224" s="62"/>
      <c r="T224" s="63"/>
      <c r="U224" s="62"/>
      <c r="V224" s="63"/>
      <c r="W224" s="62"/>
      <c r="X224" s="117"/>
      <c r="Y224" s="173"/>
      <c r="Z224" s="65"/>
    </row>
    <row r="225" ht="14.25" customHeight="1">
      <c r="B225" s="148"/>
      <c r="C225" s="144"/>
      <c r="D225" s="70"/>
      <c r="E225" s="70"/>
      <c r="L225" s="61"/>
      <c r="M225" s="62"/>
      <c r="N225" s="63"/>
      <c r="O225" s="62"/>
      <c r="P225" s="63"/>
      <c r="Q225" s="62"/>
      <c r="R225" s="63"/>
      <c r="S225" s="62"/>
      <c r="T225" s="63"/>
      <c r="U225" s="62"/>
      <c r="V225" s="63"/>
      <c r="W225" s="62"/>
      <c r="X225" s="117"/>
      <c r="Y225" s="173"/>
      <c r="Z225" s="65"/>
    </row>
    <row r="226" ht="14.25" customHeight="1">
      <c r="B226" s="69"/>
      <c r="C226" s="144"/>
      <c r="D226" s="144" t="s">
        <v>1018</v>
      </c>
      <c r="E226" s="144"/>
      <c r="L226" s="61"/>
      <c r="M226" s="62"/>
      <c r="N226" s="63"/>
      <c r="O226" s="62"/>
      <c r="P226" s="63"/>
      <c r="Q226" s="62"/>
      <c r="R226" s="63"/>
      <c r="S226" s="62"/>
      <c r="T226" s="63"/>
      <c r="U226" s="62"/>
      <c r="V226" s="63"/>
      <c r="W226" s="62"/>
      <c r="X226" s="117"/>
      <c r="Y226" s="173"/>
      <c r="Z226" s="65"/>
    </row>
    <row r="227" ht="14.25" customHeight="1">
      <c r="B227" s="148"/>
      <c r="C227" s="70"/>
      <c r="D227" s="70" t="s">
        <v>1019</v>
      </c>
      <c r="L227" s="61"/>
      <c r="M227" s="62"/>
      <c r="N227" s="63"/>
      <c r="O227" s="62"/>
      <c r="P227" s="63"/>
      <c r="Q227" s="62"/>
      <c r="R227" s="63"/>
      <c r="S227" s="62"/>
      <c r="T227" s="63"/>
      <c r="U227" s="62"/>
      <c r="V227" s="63"/>
      <c r="W227" s="62"/>
      <c r="X227" s="117"/>
      <c r="Y227" s="173"/>
      <c r="Z227" s="65"/>
    </row>
    <row r="228" ht="14.25" customHeight="1">
      <c r="B228" s="148"/>
      <c r="C228" s="144"/>
      <c r="D228" s="70" t="s">
        <v>1002</v>
      </c>
      <c r="E228" s="70"/>
      <c r="L228" s="61"/>
      <c r="M228" s="62"/>
      <c r="N228" s="63"/>
      <c r="O228" s="62"/>
      <c r="P228" s="63"/>
      <c r="Q228" s="62"/>
      <c r="R228" s="63"/>
      <c r="S228" s="62"/>
      <c r="T228" s="63"/>
      <c r="U228" s="62"/>
      <c r="V228" s="63"/>
      <c r="W228" s="62"/>
      <c r="X228" s="117"/>
      <c r="Y228" s="173"/>
      <c r="Z228" s="65"/>
    </row>
    <row r="229" ht="14.25" customHeight="1">
      <c r="B229" s="148"/>
      <c r="C229" s="144"/>
      <c r="D229" s="70" t="s">
        <v>985</v>
      </c>
      <c r="E229" s="70"/>
      <c r="L229" s="61"/>
      <c r="M229" s="62"/>
      <c r="N229" s="63"/>
      <c r="O229" s="62"/>
      <c r="P229" s="63"/>
      <c r="Q229" s="62"/>
      <c r="R229" s="63"/>
      <c r="S229" s="62"/>
      <c r="T229" s="63"/>
      <c r="U229" s="62"/>
      <c r="V229" s="63"/>
      <c r="W229" s="62"/>
      <c r="X229" s="117"/>
      <c r="Y229" s="173"/>
      <c r="Z229" s="65"/>
    </row>
    <row r="230" ht="14.25" customHeight="1">
      <c r="B230" s="148"/>
      <c r="C230" s="144"/>
      <c r="D230" s="70" t="s">
        <v>986</v>
      </c>
      <c r="E230" s="70"/>
      <c r="L230" s="61"/>
      <c r="M230" s="62"/>
      <c r="N230" s="63"/>
      <c r="O230" s="62"/>
      <c r="P230" s="63"/>
      <c r="Q230" s="62"/>
      <c r="R230" s="63"/>
      <c r="S230" s="62"/>
      <c r="T230" s="63"/>
      <c r="U230" s="62"/>
      <c r="V230" s="63"/>
      <c r="W230" s="62"/>
      <c r="X230" s="117"/>
      <c r="Y230" s="173"/>
      <c r="Z230" s="65"/>
    </row>
    <row r="231" ht="14.25" customHeight="1">
      <c r="B231" s="148"/>
      <c r="C231" s="144"/>
      <c r="D231" s="70" t="s">
        <v>995</v>
      </c>
      <c r="E231" s="70"/>
      <c r="L231" s="61"/>
      <c r="M231" s="62"/>
      <c r="N231" s="63"/>
      <c r="O231" s="62"/>
      <c r="P231" s="63"/>
      <c r="Q231" s="62"/>
      <c r="R231" s="63"/>
      <c r="S231" s="62"/>
      <c r="T231" s="63"/>
      <c r="U231" s="62"/>
      <c r="V231" s="63"/>
      <c r="W231" s="62"/>
      <c r="X231" s="117"/>
      <c r="Y231" s="173"/>
      <c r="Z231" s="65"/>
    </row>
    <row r="232" ht="14.25" customHeight="1">
      <c r="B232" s="148"/>
      <c r="C232" s="144"/>
      <c r="D232" s="70" t="s">
        <v>996</v>
      </c>
      <c r="E232" s="70"/>
      <c r="L232" s="61"/>
      <c r="M232" s="62"/>
      <c r="N232" s="63"/>
      <c r="O232" s="62"/>
      <c r="P232" s="63"/>
      <c r="Q232" s="62"/>
      <c r="R232" s="63"/>
      <c r="S232" s="62"/>
      <c r="T232" s="63"/>
      <c r="U232" s="62"/>
      <c r="V232" s="63"/>
      <c r="W232" s="62"/>
      <c r="X232" s="117"/>
      <c r="Y232" s="173"/>
      <c r="Z232" s="65"/>
    </row>
    <row r="233" ht="14.25" customHeight="1">
      <c r="B233" s="148"/>
      <c r="C233" s="144"/>
      <c r="D233" s="70" t="s">
        <v>997</v>
      </c>
      <c r="E233" s="70"/>
      <c r="L233" s="61"/>
      <c r="M233" s="62"/>
      <c r="N233" s="63"/>
      <c r="O233" s="62"/>
      <c r="P233" s="63"/>
      <c r="Q233" s="62"/>
      <c r="R233" s="63"/>
      <c r="S233" s="62"/>
      <c r="T233" s="63"/>
      <c r="U233" s="62"/>
      <c r="V233" s="63"/>
      <c r="W233" s="62"/>
      <c r="X233" s="117"/>
      <c r="Y233" s="173"/>
      <c r="Z233" s="65"/>
    </row>
    <row r="234" ht="14.25" customHeight="1">
      <c r="B234" s="148"/>
      <c r="C234" s="144"/>
      <c r="D234" s="70" t="s">
        <v>998</v>
      </c>
      <c r="E234" s="70"/>
      <c r="L234" s="61"/>
      <c r="M234" s="62"/>
      <c r="N234" s="63"/>
      <c r="O234" s="62"/>
      <c r="P234" s="63"/>
      <c r="Q234" s="62"/>
      <c r="R234" s="63"/>
      <c r="S234" s="62"/>
      <c r="T234" s="63"/>
      <c r="U234" s="62"/>
      <c r="V234" s="63"/>
      <c r="W234" s="62"/>
      <c r="X234" s="117"/>
      <c r="Y234" s="173"/>
      <c r="Z234" s="65"/>
    </row>
    <row r="235" ht="14.25" customHeight="1">
      <c r="B235" s="148"/>
      <c r="C235" s="144"/>
      <c r="D235" s="70" t="s">
        <v>999</v>
      </c>
      <c r="E235" s="70"/>
      <c r="L235" s="61"/>
      <c r="M235" s="62"/>
      <c r="N235" s="63"/>
      <c r="O235" s="62"/>
      <c r="P235" s="63"/>
      <c r="Q235" s="62"/>
      <c r="R235" s="63"/>
      <c r="S235" s="62"/>
      <c r="T235" s="63"/>
      <c r="U235" s="62"/>
      <c r="V235" s="63"/>
      <c r="W235" s="62"/>
      <c r="X235" s="117"/>
      <c r="Y235" s="173"/>
      <c r="Z235" s="65"/>
    </row>
    <row r="236" ht="14.25" customHeight="1">
      <c r="B236" s="148"/>
      <c r="C236" s="144"/>
      <c r="D236" s="70"/>
      <c r="E236" s="70"/>
      <c r="L236" s="61"/>
      <c r="M236" s="62"/>
      <c r="N236" s="63"/>
      <c r="O236" s="62"/>
      <c r="P236" s="63"/>
      <c r="Q236" s="62"/>
      <c r="R236" s="63"/>
      <c r="S236" s="62"/>
      <c r="T236" s="63"/>
      <c r="U236" s="62"/>
      <c r="V236" s="63"/>
      <c r="W236" s="62"/>
      <c r="X236" s="117"/>
      <c r="Y236" s="173"/>
      <c r="Z236" s="65"/>
    </row>
    <row r="237" ht="14.25" customHeight="1">
      <c r="B237" s="556" t="s">
        <v>1023</v>
      </c>
      <c r="C237" s="144"/>
      <c r="D237" s="70"/>
      <c r="E237" s="70"/>
      <c r="L237" s="61"/>
      <c r="M237" s="62"/>
      <c r="N237" s="63"/>
      <c r="O237" s="62"/>
      <c r="P237" s="63"/>
      <c r="Q237" s="62"/>
      <c r="R237" s="63"/>
      <c r="S237" s="62"/>
      <c r="T237" s="63"/>
      <c r="U237" s="62"/>
      <c r="V237" s="63"/>
      <c r="W237" s="62"/>
      <c r="X237" s="117"/>
      <c r="Y237" s="173"/>
      <c r="Z237" s="65"/>
    </row>
    <row r="238" ht="14.25" customHeight="1">
      <c r="B238" s="148"/>
      <c r="C238" s="144"/>
      <c r="D238" s="70"/>
      <c r="E238" s="70"/>
      <c r="L238" s="61"/>
      <c r="M238" s="62"/>
      <c r="N238" s="63"/>
      <c r="O238" s="62"/>
      <c r="P238" s="63"/>
      <c r="Q238" s="62"/>
      <c r="R238" s="63"/>
      <c r="S238" s="62"/>
      <c r="T238" s="63"/>
      <c r="U238" s="62"/>
      <c r="V238" s="63"/>
      <c r="W238" s="62"/>
      <c r="X238" s="117"/>
      <c r="Y238" s="173"/>
      <c r="Z238" s="65"/>
    </row>
    <row r="239" ht="14.25" customHeight="1">
      <c r="B239" s="557" t="s">
        <v>1024</v>
      </c>
      <c r="C239" s="558" t="s">
        <v>866</v>
      </c>
      <c r="D239" s="194" t="s">
        <v>1025</v>
      </c>
      <c r="E239" s="183"/>
      <c r="L239" s="61"/>
      <c r="M239" s="62"/>
      <c r="N239" s="63"/>
      <c r="O239" s="62"/>
      <c r="P239" s="63"/>
      <c r="Q239" s="62"/>
      <c r="R239" s="63"/>
      <c r="S239" s="62"/>
      <c r="T239" s="63"/>
      <c r="U239" s="62"/>
      <c r="V239" s="63"/>
      <c r="W239" s="62"/>
      <c r="X239" s="117"/>
      <c r="Y239" s="173"/>
      <c r="Z239" s="65"/>
    </row>
    <row r="240" ht="14.25" customHeight="1">
      <c r="B240" s="148"/>
      <c r="C240" s="183"/>
      <c r="D240" s="154" t="s">
        <v>1026</v>
      </c>
      <c r="L240" s="61"/>
      <c r="M240" s="62"/>
      <c r="N240" s="63"/>
      <c r="O240" s="62"/>
      <c r="P240" s="63"/>
      <c r="Q240" s="62"/>
      <c r="R240" s="505" t="s">
        <v>1200</v>
      </c>
      <c r="S240" s="62">
        <v>16.0</v>
      </c>
      <c r="T240" s="63">
        <v>395.0</v>
      </c>
      <c r="U240" s="62">
        <v>4371.0</v>
      </c>
      <c r="V240" s="63">
        <v>456.0</v>
      </c>
      <c r="W240" s="62">
        <f t="shared" ref="W240:W313" si="4">SUM(S240:V240)</f>
        <v>5238</v>
      </c>
      <c r="X240" s="117"/>
      <c r="Y240" s="173"/>
      <c r="Z240" s="65"/>
    </row>
    <row r="241" ht="14.25" customHeight="1">
      <c r="B241" s="148"/>
      <c r="C241" s="183"/>
      <c r="D241" s="154" t="s">
        <v>1027</v>
      </c>
      <c r="L241" s="61"/>
      <c r="M241" s="62"/>
      <c r="N241" s="63"/>
      <c r="O241" s="62"/>
      <c r="P241" s="63"/>
      <c r="Q241" s="62"/>
      <c r="R241" s="40"/>
      <c r="S241" s="62">
        <v>89.0</v>
      </c>
      <c r="T241" s="63">
        <v>1116.0</v>
      </c>
      <c r="U241" s="62">
        <v>569.0</v>
      </c>
      <c r="V241" s="63"/>
      <c r="W241" s="62">
        <f t="shared" si="4"/>
        <v>1774</v>
      </c>
      <c r="X241" s="117"/>
      <c r="Y241" s="173"/>
      <c r="Z241" s="65"/>
    </row>
    <row r="242" ht="14.25" customHeight="1">
      <c r="B242" s="148"/>
      <c r="C242" s="183"/>
      <c r="D242" s="154" t="s">
        <v>1028</v>
      </c>
      <c r="L242" s="61"/>
      <c r="M242" s="62"/>
      <c r="N242" s="63"/>
      <c r="O242" s="62"/>
      <c r="P242" s="63"/>
      <c r="Q242" s="62"/>
      <c r="R242" s="40"/>
      <c r="S242" s="62">
        <v>1139.0</v>
      </c>
      <c r="T242" s="63">
        <v>4814.0</v>
      </c>
      <c r="U242" s="62">
        <v>5872.0</v>
      </c>
      <c r="V242" s="63">
        <v>6453.0</v>
      </c>
      <c r="W242" s="62">
        <f t="shared" si="4"/>
        <v>18278</v>
      </c>
      <c r="X242" s="117"/>
      <c r="Y242" s="173"/>
      <c r="Z242" s="65"/>
    </row>
    <row r="243" ht="14.25" customHeight="1">
      <c r="B243" s="148"/>
      <c r="C243" s="183"/>
      <c r="D243" s="154" t="s">
        <v>1029</v>
      </c>
      <c r="L243" s="61"/>
      <c r="M243" s="62"/>
      <c r="N243" s="63"/>
      <c r="O243" s="62"/>
      <c r="P243" s="63"/>
      <c r="Q243" s="62"/>
      <c r="R243" s="40"/>
      <c r="S243" s="62"/>
      <c r="T243" s="63"/>
      <c r="U243" s="62"/>
      <c r="V243" s="63"/>
      <c r="W243" s="62">
        <f t="shared" si="4"/>
        <v>0</v>
      </c>
      <c r="X243" s="117"/>
      <c r="Y243" s="173"/>
      <c r="Z243" s="65"/>
    </row>
    <row r="244" ht="14.25" customHeight="1">
      <c r="B244" s="148"/>
      <c r="C244" s="183"/>
      <c r="D244" s="154" t="s">
        <v>1030</v>
      </c>
      <c r="L244" s="61"/>
      <c r="M244" s="62"/>
      <c r="N244" s="63"/>
      <c r="O244" s="62"/>
      <c r="P244" s="63"/>
      <c r="Q244" s="62"/>
      <c r="R244" s="40"/>
      <c r="S244" s="62">
        <v>184.0</v>
      </c>
      <c r="T244" s="63">
        <v>751.0</v>
      </c>
      <c r="U244" s="62">
        <v>772.0</v>
      </c>
      <c r="V244" s="63">
        <v>843.0</v>
      </c>
      <c r="W244" s="62">
        <f t="shared" si="4"/>
        <v>2550</v>
      </c>
      <c r="X244" s="117"/>
      <c r="Y244" s="173"/>
      <c r="Z244" s="65"/>
    </row>
    <row r="245" ht="14.25" customHeight="1">
      <c r="B245" s="148"/>
      <c r="C245" s="183"/>
      <c r="D245" s="154" t="s">
        <v>1031</v>
      </c>
      <c r="L245" s="61"/>
      <c r="M245" s="62"/>
      <c r="N245" s="63"/>
      <c r="O245" s="62"/>
      <c r="P245" s="63"/>
      <c r="Q245" s="62"/>
      <c r="R245" s="90"/>
      <c r="S245" s="62"/>
      <c r="T245" s="63"/>
      <c r="U245" s="62"/>
      <c r="V245" s="63"/>
      <c r="W245" s="62">
        <f t="shared" si="4"/>
        <v>0</v>
      </c>
      <c r="X245" s="117"/>
      <c r="Y245" s="173"/>
      <c r="Z245" s="65"/>
    </row>
    <row r="246" ht="14.25" customHeight="1">
      <c r="B246" s="148"/>
      <c r="C246" s="183"/>
      <c r="D246" s="77"/>
      <c r="E246" s="77"/>
      <c r="L246" s="61"/>
      <c r="M246" s="62"/>
      <c r="N246" s="63"/>
      <c r="O246" s="62"/>
      <c r="P246" s="63"/>
      <c r="Q246" s="62"/>
      <c r="R246" s="63"/>
      <c r="S246" s="62"/>
      <c r="T246" s="63"/>
      <c r="U246" s="62"/>
      <c r="V246" s="63"/>
      <c r="W246" s="62">
        <f t="shared" si="4"/>
        <v>0</v>
      </c>
      <c r="X246" s="117"/>
      <c r="Y246" s="173"/>
      <c r="Z246" s="65"/>
    </row>
    <row r="247" ht="14.25" customHeight="1">
      <c r="B247" s="148"/>
      <c r="C247" s="555" t="s">
        <v>906</v>
      </c>
      <c r="D247" s="183" t="s">
        <v>1032</v>
      </c>
      <c r="E247" s="183"/>
      <c r="L247" s="61"/>
      <c r="M247" s="62"/>
      <c r="N247" s="63"/>
      <c r="O247" s="62"/>
      <c r="P247" s="63"/>
      <c r="Q247" s="62"/>
      <c r="R247" s="63"/>
      <c r="S247" s="62"/>
      <c r="T247" s="63"/>
      <c r="U247" s="62"/>
      <c r="V247" s="63"/>
      <c r="W247" s="62">
        <f t="shared" si="4"/>
        <v>0</v>
      </c>
      <c r="X247" s="117"/>
      <c r="Y247" s="173"/>
      <c r="Z247" s="65"/>
    </row>
    <row r="248" ht="14.25" customHeight="1">
      <c r="B248" s="148"/>
      <c r="C248" s="183"/>
      <c r="D248" s="154" t="s">
        <v>1026</v>
      </c>
      <c r="L248" s="61"/>
      <c r="M248" s="62"/>
      <c r="N248" s="63"/>
      <c r="O248" s="62"/>
      <c r="P248" s="63"/>
      <c r="Q248" s="62"/>
      <c r="R248" s="63"/>
      <c r="S248" s="62">
        <v>12.0</v>
      </c>
      <c r="T248" s="63">
        <v>395.0</v>
      </c>
      <c r="U248" s="62">
        <v>4371.0</v>
      </c>
      <c r="V248" s="63">
        <v>456.0</v>
      </c>
      <c r="W248" s="62">
        <f t="shared" si="4"/>
        <v>5234</v>
      </c>
      <c r="X248" s="117"/>
      <c r="Y248" s="173"/>
      <c r="Z248" s="65"/>
    </row>
    <row r="249" ht="14.25" customHeight="1">
      <c r="B249" s="148"/>
      <c r="C249" s="183"/>
      <c r="D249" s="70" t="s">
        <v>915</v>
      </c>
      <c r="L249" s="61"/>
      <c r="M249" s="62"/>
      <c r="N249" s="63"/>
      <c r="O249" s="62"/>
      <c r="P249" s="63"/>
      <c r="Q249" s="62"/>
      <c r="R249" s="63"/>
      <c r="S249" s="62">
        <v>0.0</v>
      </c>
      <c r="T249" s="63">
        <v>0.0</v>
      </c>
      <c r="U249" s="62">
        <v>0.0</v>
      </c>
      <c r="V249" s="63">
        <v>0.0</v>
      </c>
      <c r="W249" s="62">
        <f t="shared" si="4"/>
        <v>0</v>
      </c>
      <c r="X249" s="117"/>
      <c r="Y249" s="173"/>
      <c r="Z249" s="65"/>
    </row>
    <row r="250" ht="14.25" customHeight="1">
      <c r="B250" s="148"/>
      <c r="C250" s="183"/>
      <c r="D250" s="70" t="s">
        <v>908</v>
      </c>
      <c r="L250" s="61"/>
      <c r="M250" s="62"/>
      <c r="N250" s="63"/>
      <c r="O250" s="62"/>
      <c r="P250" s="63"/>
      <c r="Q250" s="62"/>
      <c r="R250" s="63"/>
      <c r="S250" s="62">
        <v>2.0</v>
      </c>
      <c r="T250" s="63">
        <v>18.0</v>
      </c>
      <c r="U250" s="62">
        <v>9.0</v>
      </c>
      <c r="V250" s="63">
        <v>15.0</v>
      </c>
      <c r="W250" s="62">
        <f t="shared" si="4"/>
        <v>44</v>
      </c>
      <c r="X250" s="117"/>
      <c r="Y250" s="173"/>
      <c r="Z250" s="65"/>
    </row>
    <row r="251" ht="14.25" customHeight="1">
      <c r="B251" s="148"/>
      <c r="C251" s="183"/>
      <c r="D251" s="70" t="s">
        <v>909</v>
      </c>
      <c r="L251" s="61"/>
      <c r="M251" s="62"/>
      <c r="N251" s="63"/>
      <c r="O251" s="62"/>
      <c r="P251" s="63"/>
      <c r="Q251" s="62"/>
      <c r="R251" s="63"/>
      <c r="S251" s="62">
        <v>0.0</v>
      </c>
      <c r="T251" s="63">
        <v>3.0</v>
      </c>
      <c r="U251" s="62">
        <v>3.0</v>
      </c>
      <c r="V251" s="63">
        <v>2.0</v>
      </c>
      <c r="W251" s="62">
        <f t="shared" si="4"/>
        <v>8</v>
      </c>
      <c r="X251" s="117"/>
      <c r="Y251" s="173"/>
      <c r="Z251" s="65"/>
    </row>
    <row r="252" ht="14.25" customHeight="1">
      <c r="B252" s="148"/>
      <c r="C252" s="183"/>
      <c r="D252" s="91" t="s">
        <v>910</v>
      </c>
      <c r="L252" s="61"/>
      <c r="M252" s="62"/>
      <c r="N252" s="63"/>
      <c r="O252" s="62"/>
      <c r="P252" s="63"/>
      <c r="Q252" s="62"/>
      <c r="R252" s="63"/>
      <c r="S252" s="62">
        <v>0.0</v>
      </c>
      <c r="T252" s="63">
        <v>8.0</v>
      </c>
      <c r="U252" s="62">
        <v>1.0</v>
      </c>
      <c r="V252" s="63">
        <v>2.0</v>
      </c>
      <c r="W252" s="62">
        <f t="shared" si="4"/>
        <v>11</v>
      </c>
      <c r="X252" s="117"/>
      <c r="Y252" s="173"/>
      <c r="Z252" s="65"/>
    </row>
    <row r="253" ht="14.25" customHeight="1">
      <c r="B253" s="148"/>
      <c r="C253" s="183"/>
      <c r="D253" s="91" t="s">
        <v>913</v>
      </c>
      <c r="L253" s="61"/>
      <c r="M253" s="62"/>
      <c r="N253" s="63"/>
      <c r="O253" s="62"/>
      <c r="P253" s="63"/>
      <c r="Q253" s="62"/>
      <c r="R253" s="63"/>
      <c r="S253" s="62">
        <v>0.0</v>
      </c>
      <c r="T253" s="63">
        <v>8.0</v>
      </c>
      <c r="U253" s="62">
        <v>5.0</v>
      </c>
      <c r="V253" s="63">
        <v>0.0</v>
      </c>
      <c r="W253" s="62">
        <f t="shared" si="4"/>
        <v>13</v>
      </c>
      <c r="X253" s="117"/>
      <c r="Y253" s="173"/>
      <c r="Z253" s="65"/>
    </row>
    <row r="254" ht="14.25" customHeight="1">
      <c r="B254" s="148"/>
      <c r="C254" s="183"/>
      <c r="D254" s="91" t="s">
        <v>1033</v>
      </c>
      <c r="L254" s="61"/>
      <c r="M254" s="62"/>
      <c r="N254" s="63"/>
      <c r="O254" s="62"/>
      <c r="P254" s="63"/>
      <c r="Q254" s="62"/>
      <c r="R254" s="63"/>
      <c r="S254" s="62">
        <v>10.0</v>
      </c>
      <c r="T254" s="63">
        <v>358.0</v>
      </c>
      <c r="U254" s="62">
        <v>4353.0</v>
      </c>
      <c r="V254" s="63">
        <v>434.0</v>
      </c>
      <c r="W254" s="62">
        <f t="shared" si="4"/>
        <v>5155</v>
      </c>
      <c r="X254" s="117"/>
      <c r="Y254" s="173"/>
      <c r="Z254" s="65"/>
    </row>
    <row r="255" ht="14.25" customHeight="1">
      <c r="B255" s="148"/>
      <c r="C255" s="183"/>
      <c r="D255" s="70" t="s">
        <v>961</v>
      </c>
      <c r="L255" s="61"/>
      <c r="M255" s="62"/>
      <c r="N255" s="63"/>
      <c r="O255" s="62"/>
      <c r="P255" s="63"/>
      <c r="Q255" s="62"/>
      <c r="R255" s="63"/>
      <c r="S255" s="62">
        <v>0.0</v>
      </c>
      <c r="T255" s="63">
        <v>0.0</v>
      </c>
      <c r="U255" s="62">
        <v>0.0</v>
      </c>
      <c r="V255" s="63">
        <v>0.0</v>
      </c>
      <c r="W255" s="62">
        <f t="shared" si="4"/>
        <v>0</v>
      </c>
      <c r="X255" s="117"/>
      <c r="Y255" s="173"/>
      <c r="Z255" s="65"/>
    </row>
    <row r="256" ht="14.25" customHeight="1">
      <c r="B256" s="148"/>
      <c r="C256" s="183"/>
      <c r="D256" s="70" t="s">
        <v>963</v>
      </c>
      <c r="L256" s="61"/>
      <c r="M256" s="62"/>
      <c r="N256" s="63"/>
      <c r="O256" s="62"/>
      <c r="P256" s="63"/>
      <c r="Q256" s="62"/>
      <c r="R256" s="63"/>
      <c r="S256" s="62">
        <v>0.0</v>
      </c>
      <c r="T256" s="63">
        <v>0.0</v>
      </c>
      <c r="U256" s="62">
        <v>0.0</v>
      </c>
      <c r="V256" s="63">
        <v>3.0</v>
      </c>
      <c r="W256" s="62">
        <f t="shared" si="4"/>
        <v>3</v>
      </c>
      <c r="X256" s="117"/>
      <c r="Y256" s="173"/>
      <c r="Z256" s="65"/>
    </row>
    <row r="257" ht="14.25" customHeight="1">
      <c r="B257" s="148"/>
      <c r="C257" s="183"/>
      <c r="D257" s="77"/>
      <c r="E257" s="77" t="s">
        <v>1189</v>
      </c>
      <c r="L257" s="61"/>
      <c r="M257" s="62"/>
      <c r="N257" s="63"/>
      <c r="O257" s="62"/>
      <c r="P257" s="63"/>
      <c r="Q257" s="62"/>
      <c r="R257" s="63"/>
      <c r="S257" s="62">
        <v>0.0</v>
      </c>
      <c r="T257" s="63">
        <v>0.0</v>
      </c>
      <c r="U257" s="62">
        <v>0.0</v>
      </c>
      <c r="V257" s="63">
        <v>3.0</v>
      </c>
      <c r="W257" s="62">
        <f t="shared" si="4"/>
        <v>3</v>
      </c>
      <c r="X257" s="117"/>
      <c r="Y257" s="173"/>
      <c r="Z257" s="65"/>
    </row>
    <row r="258" ht="14.25" customHeight="1">
      <c r="B258" s="148"/>
      <c r="C258" s="183"/>
      <c r="D258" s="77"/>
      <c r="E258" s="77"/>
      <c r="L258" s="61"/>
      <c r="M258" s="62"/>
      <c r="N258" s="63"/>
      <c r="O258" s="62"/>
      <c r="P258" s="63"/>
      <c r="Q258" s="62"/>
      <c r="R258" s="63"/>
      <c r="S258" s="62"/>
      <c r="T258" s="63"/>
      <c r="U258" s="62"/>
      <c r="V258" s="63"/>
      <c r="W258" s="62">
        <f t="shared" si="4"/>
        <v>0</v>
      </c>
      <c r="X258" s="117"/>
      <c r="Y258" s="173"/>
      <c r="Z258" s="65"/>
    </row>
    <row r="259" ht="14.25" customHeight="1">
      <c r="B259" s="148"/>
      <c r="C259" s="183"/>
      <c r="D259" s="154" t="s">
        <v>1027</v>
      </c>
      <c r="E259" s="77"/>
      <c r="L259" s="61"/>
      <c r="M259" s="62"/>
      <c r="N259" s="63"/>
      <c r="O259" s="62"/>
      <c r="P259" s="63"/>
      <c r="Q259" s="62"/>
      <c r="R259" s="63"/>
      <c r="S259" s="62">
        <v>89.0</v>
      </c>
      <c r="T259" s="63">
        <v>1116.0</v>
      </c>
      <c r="U259" s="62">
        <v>569.0</v>
      </c>
      <c r="V259" s="63">
        <v>1051.0</v>
      </c>
      <c r="W259" s="62">
        <f t="shared" si="4"/>
        <v>2825</v>
      </c>
      <c r="X259" s="117"/>
      <c r="Y259" s="173"/>
      <c r="Z259" s="65"/>
    </row>
    <row r="260" ht="14.25" customHeight="1">
      <c r="B260" s="148"/>
      <c r="C260" s="183"/>
      <c r="D260" s="70" t="s">
        <v>915</v>
      </c>
      <c r="E260" s="233"/>
      <c r="L260" s="61"/>
      <c r="M260" s="62"/>
      <c r="N260" s="63"/>
      <c r="O260" s="62"/>
      <c r="P260" s="63"/>
      <c r="Q260" s="62"/>
      <c r="R260" s="63"/>
      <c r="S260" s="62">
        <v>0.0</v>
      </c>
      <c r="T260" s="63">
        <v>0.0</v>
      </c>
      <c r="U260" s="62">
        <v>0.0</v>
      </c>
      <c r="V260" s="63">
        <v>0.0</v>
      </c>
      <c r="W260" s="62">
        <f t="shared" si="4"/>
        <v>0</v>
      </c>
      <c r="X260" s="117"/>
      <c r="Y260" s="173"/>
      <c r="Z260" s="65"/>
    </row>
    <row r="261" ht="14.25" customHeight="1">
      <c r="B261" s="148"/>
      <c r="C261" s="183"/>
      <c r="D261" s="70" t="s">
        <v>908</v>
      </c>
      <c r="E261" s="77"/>
      <c r="L261" s="61"/>
      <c r="M261" s="62"/>
      <c r="N261" s="63"/>
      <c r="O261" s="62"/>
      <c r="P261" s="63"/>
      <c r="Q261" s="62"/>
      <c r="R261" s="63"/>
      <c r="S261" s="62">
        <v>23.0</v>
      </c>
      <c r="T261" s="63">
        <v>96.0</v>
      </c>
      <c r="U261" s="62">
        <v>154.0</v>
      </c>
      <c r="V261" s="63">
        <v>173.0</v>
      </c>
      <c r="W261" s="62">
        <f t="shared" si="4"/>
        <v>446</v>
      </c>
      <c r="X261" s="117"/>
      <c r="Y261" s="173"/>
      <c r="Z261" s="65"/>
    </row>
    <row r="262" ht="14.25" customHeight="1">
      <c r="B262" s="148"/>
      <c r="C262" s="183"/>
      <c r="D262" s="91" t="s">
        <v>909</v>
      </c>
      <c r="E262" s="233"/>
      <c r="L262" s="61"/>
      <c r="M262" s="62"/>
      <c r="N262" s="63"/>
      <c r="O262" s="62"/>
      <c r="P262" s="63"/>
      <c r="Q262" s="62"/>
      <c r="R262" s="63"/>
      <c r="S262" s="62">
        <v>4.0</v>
      </c>
      <c r="T262" s="63">
        <v>17.0</v>
      </c>
      <c r="U262" s="62">
        <v>30.0</v>
      </c>
      <c r="V262" s="63">
        <v>47.0</v>
      </c>
      <c r="W262" s="62">
        <f t="shared" si="4"/>
        <v>98</v>
      </c>
      <c r="X262" s="117"/>
      <c r="Y262" s="173"/>
      <c r="Z262" s="65"/>
    </row>
    <row r="263" ht="14.25" customHeight="1">
      <c r="B263" s="148"/>
      <c r="C263" s="183"/>
      <c r="D263" s="91" t="s">
        <v>910</v>
      </c>
      <c r="L263" s="61"/>
      <c r="M263" s="62"/>
      <c r="N263" s="63"/>
      <c r="O263" s="62"/>
      <c r="P263" s="63"/>
      <c r="Q263" s="62"/>
      <c r="R263" s="63"/>
      <c r="S263" s="62">
        <v>0.0</v>
      </c>
      <c r="T263" s="63">
        <v>5.0</v>
      </c>
      <c r="U263" s="62">
        <v>14.0</v>
      </c>
      <c r="V263" s="63">
        <v>8.0</v>
      </c>
      <c r="W263" s="62">
        <f t="shared" si="4"/>
        <v>27</v>
      </c>
      <c r="X263" s="117"/>
      <c r="Y263" s="173"/>
      <c r="Z263" s="65"/>
    </row>
    <row r="264" ht="14.25" customHeight="1">
      <c r="B264" s="148"/>
      <c r="C264" s="183"/>
      <c r="D264" s="91" t="s">
        <v>913</v>
      </c>
      <c r="L264" s="61"/>
      <c r="M264" s="62"/>
      <c r="N264" s="63"/>
      <c r="O264" s="62"/>
      <c r="P264" s="63"/>
      <c r="Q264" s="62"/>
      <c r="R264" s="63"/>
      <c r="S264" s="62">
        <v>0.0</v>
      </c>
      <c r="T264" s="63">
        <v>0.0</v>
      </c>
      <c r="U264" s="62">
        <v>0.0</v>
      </c>
      <c r="V264" s="63">
        <v>3.0</v>
      </c>
      <c r="W264" s="62">
        <f t="shared" si="4"/>
        <v>3</v>
      </c>
      <c r="X264" s="117"/>
      <c r="Y264" s="173"/>
      <c r="Z264" s="65"/>
    </row>
    <row r="265" ht="14.25" customHeight="1">
      <c r="B265" s="148"/>
      <c r="C265" s="183"/>
      <c r="D265" s="91" t="s">
        <v>1033</v>
      </c>
      <c r="L265" s="61"/>
      <c r="M265" s="62"/>
      <c r="N265" s="63"/>
      <c r="O265" s="62"/>
      <c r="P265" s="63"/>
      <c r="Q265" s="62"/>
      <c r="R265" s="63"/>
      <c r="S265" s="62">
        <v>58.0</v>
      </c>
      <c r="T265" s="63">
        <v>989.0</v>
      </c>
      <c r="U265" s="62">
        <v>354.0</v>
      </c>
      <c r="V265" s="63">
        <v>0.0</v>
      </c>
      <c r="W265" s="62">
        <f t="shared" si="4"/>
        <v>1401</v>
      </c>
      <c r="X265" s="117"/>
      <c r="Y265" s="173"/>
      <c r="Z265" s="65"/>
    </row>
    <row r="266" ht="14.25" customHeight="1">
      <c r="B266" s="148"/>
      <c r="C266" s="183"/>
      <c r="D266" s="70" t="s">
        <v>961</v>
      </c>
      <c r="L266" s="61"/>
      <c r="M266" s="62"/>
      <c r="N266" s="63"/>
      <c r="O266" s="62"/>
      <c r="P266" s="63"/>
      <c r="Q266" s="62"/>
      <c r="R266" s="63"/>
      <c r="S266" s="62">
        <v>0.0</v>
      </c>
      <c r="T266" s="63">
        <v>0.0</v>
      </c>
      <c r="U266" s="62">
        <v>0.0</v>
      </c>
      <c r="V266" s="63">
        <v>791.0</v>
      </c>
      <c r="W266" s="62">
        <f t="shared" si="4"/>
        <v>791</v>
      </c>
      <c r="X266" s="117"/>
      <c r="Y266" s="173"/>
      <c r="Z266" s="65"/>
    </row>
    <row r="267" ht="14.25" customHeight="1">
      <c r="B267" s="148"/>
      <c r="C267" s="183"/>
      <c r="D267" s="70" t="s">
        <v>963</v>
      </c>
      <c r="L267" s="61"/>
      <c r="M267" s="62"/>
      <c r="N267" s="63"/>
      <c r="O267" s="62"/>
      <c r="P267" s="63"/>
      <c r="Q267" s="62"/>
      <c r="R267" s="63"/>
      <c r="S267" s="62">
        <v>4.0</v>
      </c>
      <c r="T267" s="63">
        <v>9.0</v>
      </c>
      <c r="U267" s="62">
        <v>17.0</v>
      </c>
      <c r="V267" s="63">
        <v>29.0</v>
      </c>
      <c r="W267" s="62">
        <f t="shared" si="4"/>
        <v>59</v>
      </c>
      <c r="X267" s="117"/>
      <c r="Y267" s="173"/>
      <c r="Z267" s="65"/>
    </row>
    <row r="268" ht="14.25" customHeight="1">
      <c r="B268" s="148"/>
      <c r="C268" s="183"/>
      <c r="D268" s="77"/>
      <c r="E268" s="118" t="s">
        <v>1034</v>
      </c>
      <c r="L268" s="61"/>
      <c r="M268" s="62"/>
      <c r="N268" s="63"/>
      <c r="O268" s="62"/>
      <c r="P268" s="63"/>
      <c r="Q268" s="62"/>
      <c r="R268" s="63"/>
      <c r="S268" s="62">
        <v>4.0</v>
      </c>
      <c r="T268" s="63">
        <v>9.0</v>
      </c>
      <c r="U268" s="62">
        <v>17.0</v>
      </c>
      <c r="V268" s="63">
        <v>29.0</v>
      </c>
      <c r="W268" s="62">
        <f t="shared" si="4"/>
        <v>59</v>
      </c>
      <c r="X268" s="117"/>
      <c r="Y268" s="173"/>
      <c r="Z268" s="65"/>
    </row>
    <row r="269" ht="14.25" customHeight="1">
      <c r="B269" s="148"/>
      <c r="C269" s="183"/>
      <c r="D269" s="77"/>
      <c r="L269" s="61"/>
      <c r="M269" s="62"/>
      <c r="N269" s="63"/>
      <c r="O269" s="62"/>
      <c r="P269" s="63"/>
      <c r="Q269" s="62"/>
      <c r="R269" s="63"/>
      <c r="S269" s="62"/>
      <c r="T269" s="63"/>
      <c r="U269" s="62"/>
      <c r="V269" s="63"/>
      <c r="W269" s="62">
        <f t="shared" si="4"/>
        <v>0</v>
      </c>
      <c r="X269" s="117"/>
      <c r="Y269" s="173"/>
      <c r="Z269" s="65"/>
    </row>
    <row r="270" ht="14.25" customHeight="1">
      <c r="B270" s="148"/>
      <c r="C270" s="183"/>
      <c r="D270" s="154" t="s">
        <v>1035</v>
      </c>
      <c r="L270" s="61"/>
      <c r="M270" s="62"/>
      <c r="N270" s="63"/>
      <c r="O270" s="62"/>
      <c r="P270" s="63"/>
      <c r="Q270" s="62"/>
      <c r="R270" s="63"/>
      <c r="S270" s="62">
        <v>1137.0</v>
      </c>
      <c r="T270" s="63">
        <v>4811.0</v>
      </c>
      <c r="U270" s="62">
        <v>5872.0</v>
      </c>
      <c r="V270" s="63">
        <v>5402.0</v>
      </c>
      <c r="W270" s="62">
        <f t="shared" si="4"/>
        <v>17222</v>
      </c>
      <c r="X270" s="117"/>
      <c r="Y270" s="173"/>
      <c r="Z270" s="65"/>
    </row>
    <row r="271" ht="14.25" customHeight="1">
      <c r="B271" s="148"/>
      <c r="C271" s="183"/>
      <c r="D271" s="70" t="s">
        <v>915</v>
      </c>
      <c r="L271" s="61"/>
      <c r="M271" s="62"/>
      <c r="N271" s="63"/>
      <c r="O271" s="62"/>
      <c r="P271" s="63"/>
      <c r="Q271" s="62"/>
      <c r="R271" s="63"/>
      <c r="S271" s="62">
        <v>0.0</v>
      </c>
      <c r="T271" s="63">
        <v>0.0</v>
      </c>
      <c r="U271" s="62">
        <v>0.0</v>
      </c>
      <c r="V271" s="63">
        <v>0.0</v>
      </c>
      <c r="W271" s="62">
        <f t="shared" si="4"/>
        <v>0</v>
      </c>
      <c r="X271" s="117"/>
      <c r="Y271" s="173"/>
      <c r="Z271" s="65"/>
    </row>
    <row r="272" ht="14.25" customHeight="1">
      <c r="B272" s="148"/>
      <c r="C272" s="183"/>
      <c r="D272" s="70" t="s">
        <v>908</v>
      </c>
      <c r="L272" s="61"/>
      <c r="M272" s="62"/>
      <c r="N272" s="63"/>
      <c r="O272" s="62"/>
      <c r="P272" s="63"/>
      <c r="Q272" s="62"/>
      <c r="R272" s="63"/>
      <c r="S272" s="62">
        <v>815.0</v>
      </c>
      <c r="T272" s="63">
        <v>3130.0</v>
      </c>
      <c r="U272" s="62">
        <v>3358.0</v>
      </c>
      <c r="V272" s="63">
        <v>2841.0</v>
      </c>
      <c r="W272" s="62">
        <f t="shared" si="4"/>
        <v>10144</v>
      </c>
      <c r="X272" s="117"/>
      <c r="Y272" s="173"/>
      <c r="Z272" s="65"/>
    </row>
    <row r="273" ht="14.25" customHeight="1">
      <c r="B273" s="148"/>
      <c r="C273" s="183"/>
      <c r="D273" s="91" t="s">
        <v>909</v>
      </c>
      <c r="E273" s="77"/>
      <c r="L273" s="61"/>
      <c r="M273" s="62"/>
      <c r="N273" s="63"/>
      <c r="O273" s="62"/>
      <c r="P273" s="63"/>
      <c r="Q273" s="62"/>
      <c r="R273" s="63"/>
      <c r="S273" s="62">
        <v>201.0</v>
      </c>
      <c r="T273" s="63">
        <v>893.0</v>
      </c>
      <c r="U273" s="62">
        <v>987.0</v>
      </c>
      <c r="V273" s="63">
        <v>778.0</v>
      </c>
      <c r="W273" s="62">
        <f t="shared" si="4"/>
        <v>2859</v>
      </c>
      <c r="X273" s="117"/>
      <c r="Y273" s="173"/>
      <c r="Z273" s="65"/>
    </row>
    <row r="274" ht="14.25" customHeight="1">
      <c r="B274" s="148"/>
      <c r="C274" s="183"/>
      <c r="D274" s="91" t="s">
        <v>910</v>
      </c>
      <c r="E274" s="77"/>
      <c r="L274" s="61"/>
      <c r="M274" s="62"/>
      <c r="N274" s="63"/>
      <c r="O274" s="62"/>
      <c r="P274" s="63"/>
      <c r="Q274" s="62"/>
      <c r="R274" s="63"/>
      <c r="S274" s="62">
        <v>12.0</v>
      </c>
      <c r="T274" s="63">
        <v>78.0</v>
      </c>
      <c r="U274" s="62">
        <v>123.0</v>
      </c>
      <c r="V274" s="63">
        <v>96.0</v>
      </c>
      <c r="W274" s="62">
        <f t="shared" si="4"/>
        <v>309</v>
      </c>
      <c r="X274" s="117"/>
      <c r="Y274" s="173"/>
      <c r="Z274" s="65"/>
    </row>
    <row r="275" ht="14.25" customHeight="1">
      <c r="B275" s="148"/>
      <c r="C275" s="183"/>
      <c r="D275" s="91" t="s">
        <v>913</v>
      </c>
      <c r="E275" s="233"/>
      <c r="L275" s="61"/>
      <c r="M275" s="62"/>
      <c r="N275" s="63"/>
      <c r="O275" s="62"/>
      <c r="P275" s="63"/>
      <c r="Q275" s="62"/>
      <c r="R275" s="63"/>
      <c r="S275" s="62">
        <v>0.0</v>
      </c>
      <c r="T275" s="63">
        <v>0.0</v>
      </c>
      <c r="U275" s="62">
        <v>0.0</v>
      </c>
      <c r="V275" s="63">
        <v>0.0</v>
      </c>
      <c r="W275" s="62">
        <f t="shared" si="4"/>
        <v>0</v>
      </c>
      <c r="X275" s="117"/>
      <c r="Y275" s="173"/>
      <c r="Z275" s="65"/>
    </row>
    <row r="276" ht="14.25" customHeight="1">
      <c r="B276" s="148"/>
      <c r="C276" s="183"/>
      <c r="D276" s="70" t="s">
        <v>961</v>
      </c>
      <c r="E276" s="77"/>
      <c r="L276" s="61"/>
      <c r="M276" s="62"/>
      <c r="N276" s="63"/>
      <c r="O276" s="62"/>
      <c r="P276" s="63"/>
      <c r="Q276" s="62"/>
      <c r="R276" s="63"/>
      <c r="S276" s="62">
        <v>0.0</v>
      </c>
      <c r="T276" s="63">
        <v>0.0</v>
      </c>
      <c r="U276" s="62">
        <v>0.0</v>
      </c>
      <c r="V276" s="63">
        <v>0.0</v>
      </c>
      <c r="W276" s="62">
        <f t="shared" si="4"/>
        <v>0</v>
      </c>
      <c r="X276" s="117"/>
      <c r="Y276" s="173"/>
      <c r="Z276" s="65"/>
    </row>
    <row r="277" ht="14.25" customHeight="1">
      <c r="B277" s="148"/>
      <c r="C277" s="183"/>
      <c r="D277" s="70" t="s">
        <v>963</v>
      </c>
      <c r="E277" s="233"/>
      <c r="L277" s="61"/>
      <c r="M277" s="62"/>
      <c r="N277" s="63"/>
      <c r="O277" s="62"/>
      <c r="P277" s="63"/>
      <c r="Q277" s="62"/>
      <c r="R277" s="63"/>
      <c r="S277" s="62">
        <v>109.0</v>
      </c>
      <c r="T277" s="63">
        <v>710.0</v>
      </c>
      <c r="U277" s="62">
        <v>1404.0</v>
      </c>
      <c r="V277" s="63">
        <v>1687.0</v>
      </c>
      <c r="W277" s="62">
        <f t="shared" si="4"/>
        <v>3910</v>
      </c>
      <c r="X277" s="117"/>
      <c r="Y277" s="173"/>
      <c r="Z277" s="65"/>
    </row>
    <row r="278" ht="14.25" customHeight="1">
      <c r="B278" s="148"/>
      <c r="C278" s="183"/>
      <c r="D278" s="154"/>
      <c r="E278" s="118" t="s">
        <v>1033</v>
      </c>
      <c r="L278" s="61"/>
      <c r="M278" s="62"/>
      <c r="N278" s="63"/>
      <c r="O278" s="62"/>
      <c r="P278" s="63"/>
      <c r="Q278" s="62"/>
      <c r="R278" s="63"/>
      <c r="S278" s="62">
        <v>62.0</v>
      </c>
      <c r="T278" s="63">
        <v>509.0</v>
      </c>
      <c r="U278" s="62">
        <v>1151.0</v>
      </c>
      <c r="V278" s="63">
        <v>1345.0</v>
      </c>
      <c r="W278" s="62">
        <f t="shared" si="4"/>
        <v>3067</v>
      </c>
      <c r="X278" s="117"/>
      <c r="Y278" s="173"/>
      <c r="Z278" s="65"/>
    </row>
    <row r="279" ht="14.25" customHeight="1">
      <c r="B279" s="148"/>
      <c r="C279" s="183"/>
      <c r="D279" s="154"/>
      <c r="E279" s="118" t="s">
        <v>1034</v>
      </c>
      <c r="L279" s="61"/>
      <c r="M279" s="62"/>
      <c r="N279" s="63"/>
      <c r="O279" s="62"/>
      <c r="P279" s="63"/>
      <c r="Q279" s="62"/>
      <c r="R279" s="63"/>
      <c r="S279" s="62">
        <v>47.0</v>
      </c>
      <c r="T279" s="63">
        <v>201.0</v>
      </c>
      <c r="U279" s="62">
        <v>253.0</v>
      </c>
      <c r="V279" s="63">
        <v>342.0</v>
      </c>
      <c r="W279" s="62">
        <f t="shared" si="4"/>
        <v>843</v>
      </c>
      <c r="X279" s="117"/>
      <c r="Y279" s="173"/>
      <c r="Z279" s="65"/>
    </row>
    <row r="280" ht="14.25" customHeight="1">
      <c r="B280" s="148"/>
      <c r="C280" s="183"/>
      <c r="D280" s="70"/>
      <c r="L280" s="61"/>
      <c r="M280" s="62"/>
      <c r="N280" s="63"/>
      <c r="O280" s="62"/>
      <c r="P280" s="63"/>
      <c r="Q280" s="62"/>
      <c r="R280" s="63"/>
      <c r="S280" s="62"/>
      <c r="T280" s="63"/>
      <c r="U280" s="62"/>
      <c r="V280" s="63"/>
      <c r="W280" s="62">
        <f t="shared" si="4"/>
        <v>0</v>
      </c>
      <c r="X280" s="117"/>
      <c r="Y280" s="173"/>
      <c r="Z280" s="65"/>
    </row>
    <row r="281" ht="14.25" customHeight="1">
      <c r="B281" s="148"/>
      <c r="C281" s="183"/>
      <c r="D281" s="144" t="s">
        <v>1036</v>
      </c>
      <c r="L281" s="61"/>
      <c r="M281" s="62"/>
      <c r="N281" s="63"/>
      <c r="O281" s="62"/>
      <c r="P281" s="63"/>
      <c r="Q281" s="62"/>
      <c r="R281" s="63"/>
      <c r="S281" s="62"/>
      <c r="T281" s="63">
        <v>4.0</v>
      </c>
      <c r="U281" s="62">
        <v>3.0</v>
      </c>
      <c r="V281" s="63"/>
      <c r="W281" s="62">
        <f t="shared" si="4"/>
        <v>7</v>
      </c>
      <c r="X281" s="117"/>
      <c r="Y281" s="173"/>
      <c r="Z281" s="65"/>
    </row>
    <row r="282" ht="14.25" customHeight="1">
      <c r="B282" s="148"/>
      <c r="C282" s="183"/>
      <c r="D282" s="70" t="s">
        <v>915</v>
      </c>
      <c r="L282" s="61"/>
      <c r="M282" s="62"/>
      <c r="N282" s="63"/>
      <c r="O282" s="62"/>
      <c r="P282" s="63"/>
      <c r="Q282" s="62"/>
      <c r="R282" s="63"/>
      <c r="S282" s="62"/>
      <c r="T282" s="63">
        <v>0.0</v>
      </c>
      <c r="U282" s="62">
        <v>0.0</v>
      </c>
      <c r="V282" s="63"/>
      <c r="W282" s="62">
        <f t="shared" si="4"/>
        <v>0</v>
      </c>
      <c r="X282" s="117"/>
      <c r="Y282" s="173"/>
      <c r="Z282" s="65"/>
    </row>
    <row r="283" ht="14.25" customHeight="1">
      <c r="B283" s="148"/>
      <c r="C283" s="183"/>
      <c r="D283" s="70" t="s">
        <v>908</v>
      </c>
      <c r="L283" s="61"/>
      <c r="M283" s="62"/>
      <c r="N283" s="63"/>
      <c r="O283" s="62"/>
      <c r="P283" s="63"/>
      <c r="Q283" s="62"/>
      <c r="R283" s="63"/>
      <c r="S283" s="62"/>
      <c r="T283" s="63">
        <v>3.0</v>
      </c>
      <c r="U283" s="62">
        <v>3.0</v>
      </c>
      <c r="V283" s="63"/>
      <c r="W283" s="62">
        <f t="shared" si="4"/>
        <v>6</v>
      </c>
      <c r="X283" s="117"/>
      <c r="Y283" s="173"/>
      <c r="Z283" s="65"/>
    </row>
    <row r="284" ht="14.25" customHeight="1">
      <c r="B284" s="148"/>
      <c r="C284" s="183"/>
      <c r="D284" s="70" t="s">
        <v>909</v>
      </c>
      <c r="L284" s="61"/>
      <c r="M284" s="62"/>
      <c r="N284" s="63"/>
      <c r="O284" s="62"/>
      <c r="P284" s="63"/>
      <c r="Q284" s="62"/>
      <c r="R284" s="63"/>
      <c r="S284" s="62"/>
      <c r="T284" s="63">
        <v>0.0</v>
      </c>
      <c r="U284" s="62"/>
      <c r="V284" s="63"/>
      <c r="W284" s="62">
        <f t="shared" si="4"/>
        <v>0</v>
      </c>
      <c r="X284" s="117"/>
      <c r="Y284" s="173"/>
      <c r="Z284" s="65"/>
    </row>
    <row r="285" ht="14.25" customHeight="1">
      <c r="B285" s="148"/>
      <c r="C285" s="183"/>
      <c r="D285" s="70" t="s">
        <v>910</v>
      </c>
      <c r="L285" s="61"/>
      <c r="M285" s="62"/>
      <c r="N285" s="63"/>
      <c r="O285" s="62"/>
      <c r="P285" s="63"/>
      <c r="Q285" s="62"/>
      <c r="R285" s="63"/>
      <c r="S285" s="62"/>
      <c r="T285" s="63">
        <v>1.0</v>
      </c>
      <c r="U285" s="62"/>
      <c r="V285" s="63"/>
      <c r="W285" s="62">
        <f t="shared" si="4"/>
        <v>1</v>
      </c>
      <c r="X285" s="117"/>
      <c r="Y285" s="173"/>
      <c r="Z285" s="65"/>
    </row>
    <row r="286" ht="14.25" customHeight="1">
      <c r="B286" s="148"/>
      <c r="C286" s="183"/>
      <c r="D286" s="91" t="s">
        <v>913</v>
      </c>
      <c r="L286" s="61"/>
      <c r="M286" s="62"/>
      <c r="N286" s="63"/>
      <c r="O286" s="62"/>
      <c r="P286" s="63"/>
      <c r="Q286" s="62"/>
      <c r="R286" s="63"/>
      <c r="S286" s="62"/>
      <c r="T286" s="63"/>
      <c r="U286" s="62"/>
      <c r="V286" s="63"/>
      <c r="W286" s="62">
        <f t="shared" si="4"/>
        <v>0</v>
      </c>
      <c r="X286" s="117"/>
      <c r="Y286" s="173"/>
      <c r="Z286" s="65"/>
    </row>
    <row r="287" ht="14.25" customHeight="1">
      <c r="B287" s="148"/>
      <c r="C287" s="183"/>
      <c r="D287" s="91" t="s">
        <v>961</v>
      </c>
      <c r="L287" s="61"/>
      <c r="M287" s="62"/>
      <c r="N287" s="63"/>
      <c r="O287" s="62"/>
      <c r="P287" s="63"/>
      <c r="Q287" s="62"/>
      <c r="R287" s="63"/>
      <c r="S287" s="62"/>
      <c r="T287" s="63"/>
      <c r="U287" s="62"/>
      <c r="V287" s="63"/>
      <c r="W287" s="62">
        <f t="shared" si="4"/>
        <v>0</v>
      </c>
      <c r="X287" s="117"/>
      <c r="Y287" s="173"/>
      <c r="Z287" s="65"/>
    </row>
    <row r="288" ht="14.25" customHeight="1">
      <c r="B288" s="148"/>
      <c r="C288" s="183"/>
      <c r="D288" s="91" t="s">
        <v>963</v>
      </c>
      <c r="L288" s="61"/>
      <c r="M288" s="62"/>
      <c r="N288" s="63"/>
      <c r="O288" s="62"/>
      <c r="P288" s="63"/>
      <c r="Q288" s="62"/>
      <c r="R288" s="63"/>
      <c r="S288" s="62"/>
      <c r="T288" s="63"/>
      <c r="U288" s="62"/>
      <c r="V288" s="63"/>
      <c r="W288" s="62">
        <f t="shared" si="4"/>
        <v>0</v>
      </c>
      <c r="X288" s="117"/>
      <c r="Y288" s="173"/>
      <c r="Z288" s="65"/>
    </row>
    <row r="289" ht="14.25" customHeight="1">
      <c r="B289" s="148"/>
      <c r="C289" s="183"/>
      <c r="D289" s="70"/>
      <c r="L289" s="61"/>
      <c r="M289" s="62"/>
      <c r="N289" s="63"/>
      <c r="O289" s="62"/>
      <c r="P289" s="63"/>
      <c r="Q289" s="62"/>
      <c r="R289" s="63"/>
      <c r="S289" s="62"/>
      <c r="T289" s="63"/>
      <c r="U289" s="62"/>
      <c r="V289" s="63"/>
      <c r="W289" s="62">
        <f t="shared" si="4"/>
        <v>0</v>
      </c>
      <c r="X289" s="117"/>
      <c r="Y289" s="173"/>
      <c r="Z289" s="65"/>
    </row>
    <row r="290" ht="14.25" customHeight="1">
      <c r="B290" s="148"/>
      <c r="C290" s="183"/>
      <c r="D290" s="70"/>
      <c r="E290" s="77"/>
      <c r="L290" s="61"/>
      <c r="M290" s="62"/>
      <c r="N290" s="63"/>
      <c r="O290" s="62"/>
      <c r="P290" s="63"/>
      <c r="Q290" s="62"/>
      <c r="R290" s="63"/>
      <c r="S290" s="62"/>
      <c r="T290" s="63"/>
      <c r="U290" s="62"/>
      <c r="V290" s="63"/>
      <c r="W290" s="62">
        <f t="shared" si="4"/>
        <v>0</v>
      </c>
      <c r="X290" s="117"/>
      <c r="Y290" s="173"/>
      <c r="Z290" s="65"/>
    </row>
    <row r="291" ht="14.25" customHeight="1">
      <c r="B291" s="148"/>
      <c r="C291" s="183"/>
      <c r="D291" s="77"/>
      <c r="E291" s="77"/>
      <c r="L291" s="61"/>
      <c r="M291" s="62"/>
      <c r="N291" s="63"/>
      <c r="O291" s="62"/>
      <c r="P291" s="63"/>
      <c r="Q291" s="62"/>
      <c r="R291" s="63"/>
      <c r="S291" s="62"/>
      <c r="T291" s="63"/>
      <c r="U291" s="62"/>
      <c r="V291" s="63"/>
      <c r="W291" s="62">
        <f t="shared" si="4"/>
        <v>0</v>
      </c>
      <c r="X291" s="117"/>
      <c r="Y291" s="173"/>
      <c r="Z291" s="65"/>
    </row>
    <row r="292" ht="14.25" customHeight="1">
      <c r="B292" s="148"/>
      <c r="C292" s="183"/>
      <c r="D292" s="154" t="s">
        <v>1030</v>
      </c>
      <c r="E292" s="233"/>
      <c r="L292" s="61"/>
      <c r="M292" s="62"/>
      <c r="N292" s="63"/>
      <c r="O292" s="62"/>
      <c r="P292" s="63"/>
      <c r="Q292" s="62"/>
      <c r="R292" s="63"/>
      <c r="S292" s="62">
        <v>168.0</v>
      </c>
      <c r="T292" s="63">
        <v>754.0</v>
      </c>
      <c r="U292" s="62">
        <v>749.0</v>
      </c>
      <c r="V292" s="63">
        <v>843.0</v>
      </c>
      <c r="W292" s="62">
        <f t="shared" si="4"/>
        <v>2514</v>
      </c>
      <c r="X292" s="117"/>
      <c r="Y292" s="173"/>
      <c r="Z292" s="65"/>
    </row>
    <row r="293" ht="14.25" customHeight="1">
      <c r="B293" s="148"/>
      <c r="C293" s="183"/>
      <c r="D293" s="70" t="s">
        <v>915</v>
      </c>
      <c r="E293" s="77"/>
      <c r="L293" s="61"/>
      <c r="M293" s="62"/>
      <c r="N293" s="63"/>
      <c r="O293" s="62"/>
      <c r="P293" s="63"/>
      <c r="Q293" s="62"/>
      <c r="R293" s="63"/>
      <c r="S293" s="62">
        <v>0.0</v>
      </c>
      <c r="T293" s="63">
        <v>0.0</v>
      </c>
      <c r="U293" s="62">
        <v>0.0</v>
      </c>
      <c r="V293" s="63">
        <v>0.0</v>
      </c>
      <c r="W293" s="62">
        <f t="shared" si="4"/>
        <v>0</v>
      </c>
      <c r="X293" s="117"/>
      <c r="Y293" s="173"/>
      <c r="Z293" s="65"/>
    </row>
    <row r="294" ht="14.25" customHeight="1">
      <c r="B294" s="148"/>
      <c r="C294" s="183"/>
      <c r="D294" s="70" t="s">
        <v>908</v>
      </c>
      <c r="E294" s="233"/>
      <c r="L294" s="61"/>
      <c r="M294" s="62"/>
      <c r="N294" s="63"/>
      <c r="O294" s="62"/>
      <c r="P294" s="63"/>
      <c r="Q294" s="62"/>
      <c r="R294" s="63"/>
      <c r="S294" s="62">
        <v>141.0</v>
      </c>
      <c r="T294" s="63">
        <v>569.0</v>
      </c>
      <c r="U294" s="62">
        <v>569.0</v>
      </c>
      <c r="V294" s="63">
        <v>593.0</v>
      </c>
      <c r="W294" s="62">
        <f t="shared" si="4"/>
        <v>1872</v>
      </c>
      <c r="X294" s="117"/>
      <c r="Y294" s="173"/>
      <c r="Z294" s="65"/>
    </row>
    <row r="295" ht="14.25" customHeight="1">
      <c r="B295" s="148"/>
      <c r="C295" s="183"/>
      <c r="D295" s="91" t="s">
        <v>909</v>
      </c>
      <c r="L295" s="61"/>
      <c r="M295" s="62"/>
      <c r="N295" s="63"/>
      <c r="O295" s="62"/>
      <c r="P295" s="63"/>
      <c r="Q295" s="62"/>
      <c r="R295" s="63"/>
      <c r="S295" s="62">
        <v>27.0</v>
      </c>
      <c r="T295" s="63">
        <v>121.0</v>
      </c>
      <c r="U295" s="62">
        <v>117.0</v>
      </c>
      <c r="V295" s="63">
        <v>147.0</v>
      </c>
      <c r="W295" s="62">
        <f t="shared" si="4"/>
        <v>412</v>
      </c>
      <c r="X295" s="117"/>
      <c r="Y295" s="173"/>
      <c r="Z295" s="65"/>
    </row>
    <row r="296" ht="14.25" customHeight="1">
      <c r="B296" s="148"/>
      <c r="C296" s="183"/>
      <c r="D296" s="91" t="s">
        <v>910</v>
      </c>
      <c r="L296" s="61"/>
      <c r="M296" s="62"/>
      <c r="N296" s="63"/>
      <c r="O296" s="62"/>
      <c r="P296" s="63"/>
      <c r="Q296" s="62"/>
      <c r="R296" s="63"/>
      <c r="S296" s="62">
        <v>0.0</v>
      </c>
      <c r="T296" s="63">
        <v>6.0</v>
      </c>
      <c r="U296" s="62">
        <v>18.0</v>
      </c>
      <c r="V296" s="63">
        <v>25.0</v>
      </c>
      <c r="W296" s="62">
        <f t="shared" si="4"/>
        <v>49</v>
      </c>
      <c r="X296" s="117"/>
      <c r="Y296" s="173"/>
      <c r="Z296" s="65"/>
    </row>
    <row r="297" ht="14.25" customHeight="1">
      <c r="B297" s="148"/>
      <c r="C297" s="183"/>
      <c r="D297" s="91" t="s">
        <v>913</v>
      </c>
      <c r="L297" s="61"/>
      <c r="M297" s="62"/>
      <c r="N297" s="63"/>
      <c r="O297" s="62"/>
      <c r="P297" s="63"/>
      <c r="Q297" s="62"/>
      <c r="R297" s="63"/>
      <c r="S297" s="62">
        <v>0.0</v>
      </c>
      <c r="T297" s="63">
        <v>0.0</v>
      </c>
      <c r="U297" s="62">
        <v>45.0</v>
      </c>
      <c r="V297" s="63">
        <v>10.0</v>
      </c>
      <c r="W297" s="62">
        <f t="shared" si="4"/>
        <v>55</v>
      </c>
      <c r="X297" s="117"/>
      <c r="Y297" s="173"/>
      <c r="Z297" s="65"/>
    </row>
    <row r="298" ht="14.25" customHeight="1">
      <c r="B298" s="148"/>
      <c r="C298" s="183"/>
      <c r="D298" s="91" t="s">
        <v>961</v>
      </c>
      <c r="L298" s="61"/>
      <c r="M298" s="62"/>
      <c r="N298" s="63"/>
      <c r="O298" s="62"/>
      <c r="P298" s="63"/>
      <c r="Q298" s="62"/>
      <c r="R298" s="63"/>
      <c r="S298" s="62">
        <v>0.0</v>
      </c>
      <c r="T298" s="63">
        <v>0.0</v>
      </c>
      <c r="U298" s="62">
        <v>0.0</v>
      </c>
      <c r="V298" s="63">
        <v>15.0</v>
      </c>
      <c r="W298" s="62">
        <f t="shared" si="4"/>
        <v>15</v>
      </c>
      <c r="X298" s="117"/>
      <c r="Y298" s="173"/>
      <c r="Z298" s="65"/>
    </row>
    <row r="299" ht="14.25" customHeight="1">
      <c r="B299" s="148"/>
      <c r="C299" s="183"/>
      <c r="D299" s="91" t="s">
        <v>963</v>
      </c>
      <c r="L299" s="61"/>
      <c r="M299" s="62"/>
      <c r="N299" s="63"/>
      <c r="O299" s="62"/>
      <c r="P299" s="63"/>
      <c r="Q299" s="62"/>
      <c r="R299" s="63"/>
      <c r="S299" s="62">
        <v>0.0</v>
      </c>
      <c r="T299" s="63">
        <v>58.0</v>
      </c>
      <c r="U299" s="62">
        <v>0.0</v>
      </c>
      <c r="V299" s="63">
        <v>53.0</v>
      </c>
      <c r="W299" s="62">
        <f t="shared" si="4"/>
        <v>111</v>
      </c>
      <c r="X299" s="117"/>
      <c r="Y299" s="173"/>
      <c r="Z299" s="65"/>
    </row>
    <row r="300" ht="14.25" customHeight="1">
      <c r="B300" s="148"/>
      <c r="C300" s="183"/>
      <c r="D300" s="91" t="s">
        <v>1037</v>
      </c>
      <c r="L300" s="61"/>
      <c r="M300" s="62"/>
      <c r="N300" s="63"/>
      <c r="O300" s="62"/>
      <c r="P300" s="63"/>
      <c r="Q300" s="62"/>
      <c r="R300" s="63"/>
      <c r="S300" s="62">
        <v>0.0</v>
      </c>
      <c r="T300" s="63">
        <v>43.0</v>
      </c>
      <c r="U300" s="62">
        <v>0.0</v>
      </c>
      <c r="V300" s="63">
        <v>53.0</v>
      </c>
      <c r="W300" s="62">
        <f t="shared" si="4"/>
        <v>96</v>
      </c>
      <c r="X300" s="117"/>
      <c r="Y300" s="173"/>
      <c r="Z300" s="65"/>
    </row>
    <row r="301" ht="14.25" customHeight="1">
      <c r="B301" s="148"/>
      <c r="C301" s="183"/>
      <c r="D301" s="70" t="s">
        <v>1038</v>
      </c>
      <c r="L301" s="61"/>
      <c r="M301" s="62"/>
      <c r="N301" s="63"/>
      <c r="O301" s="62"/>
      <c r="P301" s="63"/>
      <c r="Q301" s="62"/>
      <c r="R301" s="63"/>
      <c r="S301" s="62">
        <v>0.0</v>
      </c>
      <c r="T301" s="63">
        <v>15.0</v>
      </c>
      <c r="U301" s="62"/>
      <c r="V301" s="63"/>
      <c r="W301" s="62">
        <f t="shared" si="4"/>
        <v>15</v>
      </c>
      <c r="X301" s="117"/>
      <c r="Y301" s="173"/>
      <c r="Z301" s="65"/>
    </row>
    <row r="302" ht="14.25" customHeight="1">
      <c r="B302" s="148"/>
      <c r="C302" s="183"/>
      <c r="D302" s="70"/>
      <c r="L302" s="61"/>
      <c r="M302" s="62"/>
      <c r="N302" s="63"/>
      <c r="O302" s="62"/>
      <c r="P302" s="63"/>
      <c r="Q302" s="62"/>
      <c r="R302" s="63"/>
      <c r="S302" s="62"/>
      <c r="T302" s="63"/>
      <c r="U302" s="62"/>
      <c r="V302" s="63"/>
      <c r="W302" s="62">
        <f t="shared" si="4"/>
        <v>0</v>
      </c>
      <c r="X302" s="117"/>
      <c r="Y302" s="173"/>
      <c r="Z302" s="65"/>
    </row>
    <row r="303" ht="14.25" customHeight="1">
      <c r="B303" s="148"/>
      <c r="C303" s="183"/>
      <c r="D303" s="77"/>
      <c r="L303" s="61"/>
      <c r="M303" s="62"/>
      <c r="N303" s="63"/>
      <c r="O303" s="62"/>
      <c r="P303" s="63"/>
      <c r="Q303" s="62"/>
      <c r="R303" s="63"/>
      <c r="S303" s="62"/>
      <c r="T303" s="63"/>
      <c r="U303" s="62"/>
      <c r="V303" s="63"/>
      <c r="W303" s="62">
        <f t="shared" si="4"/>
        <v>0</v>
      </c>
      <c r="X303" s="117"/>
      <c r="Y303" s="173"/>
      <c r="Z303" s="65"/>
    </row>
    <row r="304" ht="14.25" customHeight="1">
      <c r="B304" s="148"/>
      <c r="C304" s="183"/>
      <c r="D304" s="154" t="s">
        <v>1031</v>
      </c>
      <c r="L304" s="61"/>
      <c r="M304" s="62"/>
      <c r="N304" s="63"/>
      <c r="O304" s="62"/>
      <c r="P304" s="63"/>
      <c r="Q304" s="62"/>
      <c r="R304" s="63"/>
      <c r="S304" s="62">
        <v>71.0</v>
      </c>
      <c r="T304" s="63"/>
      <c r="U304" s="62"/>
      <c r="V304" s="63"/>
      <c r="W304" s="62">
        <f t="shared" si="4"/>
        <v>71</v>
      </c>
      <c r="X304" s="117"/>
      <c r="Y304" s="173"/>
      <c r="Z304" s="65"/>
    </row>
    <row r="305" ht="14.25" customHeight="1">
      <c r="B305" s="148"/>
      <c r="C305" s="183"/>
      <c r="D305" s="197" t="s">
        <v>915</v>
      </c>
      <c r="L305" s="61"/>
      <c r="M305" s="62"/>
      <c r="N305" s="63"/>
      <c r="O305" s="62"/>
      <c r="P305" s="63"/>
      <c r="Q305" s="62"/>
      <c r="R305" s="63"/>
      <c r="S305" s="62">
        <v>0.0</v>
      </c>
      <c r="T305" s="63"/>
      <c r="U305" s="62"/>
      <c r="V305" s="63"/>
      <c r="W305" s="62">
        <f t="shared" si="4"/>
        <v>0</v>
      </c>
      <c r="X305" s="117"/>
      <c r="Y305" s="173"/>
      <c r="Z305" s="65"/>
    </row>
    <row r="306" ht="14.25" customHeight="1">
      <c r="B306" s="148"/>
      <c r="C306" s="183"/>
      <c r="D306" s="197" t="s">
        <v>908</v>
      </c>
      <c r="L306" s="61"/>
      <c r="M306" s="62"/>
      <c r="N306" s="63"/>
      <c r="O306" s="62"/>
      <c r="P306" s="63"/>
      <c r="Q306" s="62"/>
      <c r="R306" s="63"/>
      <c r="S306" s="62">
        <v>6.0</v>
      </c>
      <c r="T306" s="63"/>
      <c r="U306" s="62"/>
      <c r="V306" s="63"/>
      <c r="W306" s="62">
        <f t="shared" si="4"/>
        <v>6</v>
      </c>
      <c r="X306" s="117"/>
      <c r="Y306" s="173"/>
      <c r="Z306" s="65"/>
    </row>
    <row r="307" ht="14.25" customHeight="1">
      <c r="B307" s="148"/>
      <c r="C307" s="183"/>
      <c r="D307" s="197" t="s">
        <v>909</v>
      </c>
      <c r="L307" s="61"/>
      <c r="M307" s="62"/>
      <c r="N307" s="63"/>
      <c r="O307" s="62"/>
      <c r="P307" s="63"/>
      <c r="Q307" s="62"/>
      <c r="R307" s="63"/>
      <c r="S307" s="62">
        <v>1.0</v>
      </c>
      <c r="T307" s="63"/>
      <c r="U307" s="62"/>
      <c r="V307" s="63"/>
      <c r="W307" s="62">
        <f t="shared" si="4"/>
        <v>1</v>
      </c>
      <c r="X307" s="117"/>
      <c r="Y307" s="173"/>
      <c r="Z307" s="65"/>
    </row>
    <row r="308" ht="14.25" customHeight="1">
      <c r="B308" s="148"/>
      <c r="C308" s="183"/>
      <c r="D308" s="197" t="s">
        <v>910</v>
      </c>
      <c r="L308" s="61"/>
      <c r="M308" s="62"/>
      <c r="N308" s="63"/>
      <c r="O308" s="62"/>
      <c r="P308" s="63"/>
      <c r="Q308" s="62"/>
      <c r="R308" s="63"/>
      <c r="S308" s="62">
        <v>2.0</v>
      </c>
      <c r="T308" s="63"/>
      <c r="U308" s="62"/>
      <c r="V308" s="63"/>
      <c r="W308" s="62">
        <f t="shared" si="4"/>
        <v>2</v>
      </c>
      <c r="X308" s="117"/>
      <c r="Y308" s="173"/>
      <c r="Z308" s="65"/>
    </row>
    <row r="309" ht="14.25" customHeight="1">
      <c r="B309" s="148"/>
      <c r="C309" s="183"/>
      <c r="D309" s="197" t="s">
        <v>913</v>
      </c>
      <c r="L309" s="61"/>
      <c r="M309" s="62"/>
      <c r="N309" s="63"/>
      <c r="O309" s="62"/>
      <c r="P309" s="63"/>
      <c r="Q309" s="62"/>
      <c r="R309" s="63"/>
      <c r="S309" s="62">
        <v>0.0</v>
      </c>
      <c r="T309" s="63"/>
      <c r="U309" s="62"/>
      <c r="V309" s="63"/>
      <c r="W309" s="62">
        <f t="shared" si="4"/>
        <v>0</v>
      </c>
      <c r="X309" s="117"/>
      <c r="Y309" s="173"/>
      <c r="Z309" s="65"/>
    </row>
    <row r="310" ht="14.25" customHeight="1">
      <c r="B310" s="148"/>
      <c r="C310" s="183"/>
      <c r="D310" s="197" t="s">
        <v>961</v>
      </c>
      <c r="L310" s="61"/>
      <c r="M310" s="62"/>
      <c r="N310" s="63"/>
      <c r="O310" s="62"/>
      <c r="P310" s="63"/>
      <c r="Q310" s="62"/>
      <c r="R310" s="63"/>
      <c r="S310" s="62">
        <v>0.0</v>
      </c>
      <c r="T310" s="63"/>
      <c r="U310" s="62"/>
      <c r="V310" s="63"/>
      <c r="W310" s="62">
        <f t="shared" si="4"/>
        <v>0</v>
      </c>
      <c r="X310" s="117"/>
      <c r="Y310" s="173"/>
      <c r="Z310" s="65"/>
    </row>
    <row r="311" ht="14.25" customHeight="1">
      <c r="B311" s="148"/>
      <c r="C311" s="183"/>
      <c r="D311" s="197" t="s">
        <v>963</v>
      </c>
      <c r="L311" s="61"/>
      <c r="M311" s="62"/>
      <c r="N311" s="63"/>
      <c r="O311" s="62"/>
      <c r="P311" s="63"/>
      <c r="Q311" s="62"/>
      <c r="R311" s="63"/>
      <c r="S311" s="62">
        <v>62.0</v>
      </c>
      <c r="T311" s="63"/>
      <c r="U311" s="62"/>
      <c r="V311" s="63"/>
      <c r="W311" s="62">
        <f t="shared" si="4"/>
        <v>62</v>
      </c>
      <c r="X311" s="117"/>
      <c r="Y311" s="173"/>
      <c r="Z311" s="65"/>
    </row>
    <row r="312" ht="14.25" customHeight="1">
      <c r="B312" s="148"/>
      <c r="C312" s="183"/>
      <c r="D312" s="70"/>
      <c r="E312" s="118" t="s">
        <v>1037</v>
      </c>
      <c r="L312" s="61"/>
      <c r="M312" s="62"/>
      <c r="N312" s="63"/>
      <c r="O312" s="62"/>
      <c r="P312" s="63"/>
      <c r="Q312" s="62"/>
      <c r="R312" s="63"/>
      <c r="S312" s="62">
        <v>2.0</v>
      </c>
      <c r="T312" s="63"/>
      <c r="U312" s="62"/>
      <c r="V312" s="63"/>
      <c r="W312" s="62">
        <f t="shared" si="4"/>
        <v>2</v>
      </c>
      <c r="X312" s="117"/>
      <c r="Y312" s="173"/>
      <c r="Z312" s="65"/>
    </row>
    <row r="313" ht="14.25" customHeight="1">
      <c r="B313" s="148"/>
      <c r="C313" s="183"/>
      <c r="D313" s="70"/>
      <c r="E313" s="77" t="s">
        <v>1038</v>
      </c>
      <c r="L313" s="61"/>
      <c r="M313" s="62"/>
      <c r="N313" s="63"/>
      <c r="O313" s="62"/>
      <c r="P313" s="63"/>
      <c r="Q313" s="62"/>
      <c r="R313" s="63"/>
      <c r="S313" s="62">
        <v>60.0</v>
      </c>
      <c r="T313" s="63"/>
      <c r="U313" s="62"/>
      <c r="V313" s="63"/>
      <c r="W313" s="62">
        <f t="shared" si="4"/>
        <v>60</v>
      </c>
      <c r="X313" s="117"/>
      <c r="Y313" s="173"/>
      <c r="Z313" s="65"/>
    </row>
    <row r="314" ht="14.25" customHeight="1">
      <c r="B314" s="148"/>
      <c r="C314" s="183"/>
      <c r="D314" s="70"/>
      <c r="E314" s="77"/>
      <c r="L314" s="61"/>
      <c r="M314" s="62"/>
      <c r="N314" s="63"/>
      <c r="O314" s="62"/>
      <c r="P314" s="63"/>
      <c r="Q314" s="62"/>
      <c r="R314" s="63"/>
      <c r="S314" s="62"/>
      <c r="T314" s="63"/>
      <c r="U314" s="62"/>
      <c r="V314" s="63"/>
      <c r="W314" s="62"/>
      <c r="X314" s="117"/>
      <c r="Y314" s="173"/>
      <c r="Z314" s="65"/>
    </row>
    <row r="315" ht="14.25" customHeight="1">
      <c r="B315" s="113"/>
      <c r="L315" s="61"/>
      <c r="M315" s="62"/>
      <c r="N315" s="63"/>
      <c r="O315" s="62"/>
      <c r="P315" s="63"/>
      <c r="Q315" s="62"/>
      <c r="R315" s="63"/>
      <c r="S315" s="62"/>
      <c r="T315" s="63"/>
      <c r="U315" s="62"/>
      <c r="V315" s="63"/>
      <c r="W315" s="62"/>
      <c r="X315" s="117"/>
      <c r="Y315" s="173"/>
      <c r="Z315" s="65"/>
    </row>
    <row r="316" ht="14.25" customHeight="1">
      <c r="B316" s="60" t="s">
        <v>1040</v>
      </c>
      <c r="C316" s="144"/>
      <c r="D316" s="183"/>
      <c r="E316" s="77"/>
      <c r="L316" s="61"/>
      <c r="M316" s="62"/>
      <c r="N316" s="63"/>
      <c r="O316" s="62"/>
      <c r="P316" s="63"/>
      <c r="Q316" s="62"/>
      <c r="R316" s="63"/>
      <c r="S316" s="62"/>
      <c r="T316" s="63"/>
      <c r="U316" s="62"/>
      <c r="V316" s="63"/>
      <c r="W316" s="62"/>
      <c r="X316" s="117"/>
      <c r="Y316" s="173"/>
      <c r="Z316" s="65"/>
    </row>
    <row r="317" ht="14.25" customHeight="1">
      <c r="B317" s="60" t="s">
        <v>1041</v>
      </c>
      <c r="L317" s="61"/>
      <c r="M317" s="62"/>
      <c r="N317" s="63"/>
      <c r="O317" s="62"/>
      <c r="P317" s="63"/>
      <c r="Q317" s="62"/>
      <c r="R317" s="63"/>
      <c r="S317" s="62"/>
      <c r="T317" s="63"/>
      <c r="U317" s="62"/>
      <c r="V317" s="63"/>
      <c r="W317" s="62"/>
      <c r="X317" s="117"/>
      <c r="Y317" s="173"/>
      <c r="Z317" s="65"/>
    </row>
    <row r="318" ht="14.25" customHeight="1">
      <c r="B318" s="113"/>
      <c r="E318" s="559"/>
      <c r="L318" s="61"/>
      <c r="M318" s="62"/>
      <c r="N318" s="63"/>
      <c r="O318" s="62"/>
      <c r="P318" s="63"/>
      <c r="Q318" s="62"/>
      <c r="R318" s="63"/>
      <c r="S318" s="62"/>
      <c r="T318" s="63"/>
      <c r="U318" s="62"/>
      <c r="V318" s="63"/>
      <c r="W318" s="62"/>
      <c r="X318" s="117"/>
      <c r="Y318" s="173"/>
      <c r="Z318" s="65"/>
    </row>
    <row r="319" ht="14.25" customHeight="1">
      <c r="B319" s="113"/>
      <c r="D319" s="560" t="s">
        <v>1042</v>
      </c>
      <c r="E319" s="561"/>
      <c r="L319" s="61"/>
      <c r="M319" s="62"/>
      <c r="N319" s="63"/>
      <c r="O319" s="62"/>
      <c r="P319" s="63"/>
      <c r="Q319" s="62"/>
      <c r="R319" s="63"/>
      <c r="S319" s="62"/>
      <c r="T319" s="63"/>
      <c r="U319" s="62"/>
      <c r="V319" s="63"/>
      <c r="W319" s="62"/>
      <c r="X319" s="117"/>
      <c r="Y319" s="173"/>
      <c r="Z319" s="65"/>
    </row>
    <row r="320" ht="15.0" customHeight="1">
      <c r="B320" s="113"/>
      <c r="D320" s="559"/>
      <c r="E320" s="559" t="s">
        <v>1043</v>
      </c>
      <c r="F320" s="562"/>
      <c r="L320" s="61"/>
      <c r="M320" s="62"/>
      <c r="N320" s="63"/>
      <c r="O320" s="62"/>
      <c r="P320" s="63"/>
      <c r="Q320" s="62"/>
      <c r="R320" s="63"/>
      <c r="S320" s="62"/>
      <c r="T320" s="63"/>
      <c r="U320" s="62"/>
      <c r="V320" s="63"/>
      <c r="W320" s="62"/>
      <c r="X320" s="117"/>
      <c r="Y320" s="173"/>
      <c r="Z320" s="65"/>
    </row>
    <row r="321" ht="14.25" customHeight="1">
      <c r="B321" s="113"/>
      <c r="D321" s="563"/>
      <c r="E321" s="564" t="s">
        <v>1044</v>
      </c>
      <c r="L321" s="61"/>
      <c r="M321" s="62"/>
      <c r="N321" s="63">
        <v>132959.0</v>
      </c>
      <c r="O321" s="62">
        <v>132959.0</v>
      </c>
      <c r="P321" s="63">
        <v>130532.0</v>
      </c>
      <c r="Q321" s="62">
        <v>130532.0</v>
      </c>
      <c r="R321" s="63">
        <v>130532.0</v>
      </c>
      <c r="S321" s="62">
        <v>149906.0</v>
      </c>
      <c r="T321" s="63">
        <v>149906.0</v>
      </c>
      <c r="U321" s="62">
        <v>136977.0</v>
      </c>
      <c r="V321" s="63">
        <v>144805.0</v>
      </c>
      <c r="W321" s="62">
        <v>144805.0</v>
      </c>
      <c r="X321" s="117"/>
      <c r="Y321" s="173"/>
      <c r="Z321" s="65"/>
    </row>
    <row r="322" ht="14.25" customHeight="1">
      <c r="B322" s="113"/>
      <c r="D322" s="559"/>
      <c r="E322" s="565"/>
      <c r="L322" s="61"/>
      <c r="M322" s="62"/>
      <c r="N322" s="63"/>
      <c r="O322" s="62"/>
      <c r="P322" s="63"/>
      <c r="Q322" s="62"/>
      <c r="R322" s="63"/>
      <c r="S322" s="62"/>
      <c r="T322" s="63"/>
      <c r="U322" s="62"/>
      <c r="V322" s="63"/>
      <c r="W322" s="62"/>
      <c r="X322" s="117"/>
      <c r="Y322" s="173"/>
      <c r="Z322" s="65"/>
    </row>
    <row r="323" ht="14.25" customHeight="1">
      <c r="B323" s="113"/>
      <c r="D323" s="559"/>
      <c r="E323" s="559" t="s">
        <v>1046</v>
      </c>
      <c r="L323" s="61"/>
      <c r="M323" s="62"/>
      <c r="N323" s="63"/>
      <c r="O323" s="62"/>
      <c r="P323" s="63"/>
      <c r="Q323" s="62"/>
      <c r="R323" s="63"/>
      <c r="S323" s="62"/>
      <c r="T323" s="63"/>
      <c r="U323" s="62"/>
      <c r="V323" s="63"/>
      <c r="W323" s="62"/>
      <c r="X323" s="117"/>
      <c r="Y323" s="173"/>
      <c r="Z323" s="65"/>
    </row>
    <row r="324" ht="15.0" customHeight="1">
      <c r="B324" s="113"/>
      <c r="D324" s="559"/>
      <c r="E324" s="566" t="s">
        <v>1047</v>
      </c>
      <c r="F324" s="562"/>
      <c r="L324" s="61"/>
      <c r="M324" s="62"/>
      <c r="N324" s="241">
        <v>0.85</v>
      </c>
      <c r="O324" s="567">
        <v>0.85</v>
      </c>
      <c r="P324" s="241"/>
      <c r="Q324" s="567">
        <v>0.8</v>
      </c>
      <c r="R324" s="241"/>
      <c r="S324" s="567">
        <v>0.899</v>
      </c>
      <c r="T324" s="241">
        <v>0.899</v>
      </c>
      <c r="U324" s="567"/>
      <c r="V324" s="241">
        <v>0.905</v>
      </c>
      <c r="W324" s="62"/>
      <c r="X324" s="117"/>
      <c r="Y324" s="173"/>
      <c r="Z324" s="65"/>
    </row>
    <row r="325" ht="14.25" customHeight="1">
      <c r="B325" s="113"/>
      <c r="D325" s="559"/>
      <c r="E325" s="566" t="s">
        <v>1048</v>
      </c>
      <c r="L325" s="61"/>
      <c r="M325" s="62"/>
      <c r="N325" s="241">
        <v>0.49</v>
      </c>
      <c r="O325" s="567">
        <v>0.49</v>
      </c>
      <c r="P325" s="241" t="s">
        <v>1190</v>
      </c>
      <c r="Q325" s="567"/>
      <c r="R325" s="241"/>
      <c r="S325" s="567">
        <v>0.5033</v>
      </c>
      <c r="T325" s="241">
        <v>0.5033</v>
      </c>
      <c r="U325" s="567" t="s">
        <v>1190</v>
      </c>
      <c r="V325" s="241"/>
      <c r="W325" s="62"/>
      <c r="X325" s="117"/>
      <c r="Y325" s="173"/>
      <c r="Z325" s="65"/>
    </row>
    <row r="326" ht="14.25" customHeight="1">
      <c r="B326" s="113"/>
      <c r="D326" s="559"/>
      <c r="E326" s="559" t="s">
        <v>1049</v>
      </c>
      <c r="L326" s="61"/>
      <c r="M326" s="62"/>
      <c r="N326" s="241"/>
      <c r="O326" s="567"/>
      <c r="P326" s="241"/>
      <c r="Q326" s="567" t="s">
        <v>403</v>
      </c>
      <c r="R326" s="241"/>
      <c r="S326" s="567"/>
      <c r="T326" s="241"/>
      <c r="U326" s="567"/>
      <c r="V326" s="241"/>
      <c r="W326" s="62"/>
      <c r="X326" s="117"/>
      <c r="Y326" s="173"/>
      <c r="Z326" s="65"/>
    </row>
    <row r="327" ht="14.25" customHeight="1">
      <c r="B327" s="113"/>
      <c r="D327" s="563"/>
      <c r="E327" s="564" t="s">
        <v>1050</v>
      </c>
      <c r="L327" s="61"/>
      <c r="M327" s="62"/>
      <c r="N327" s="241">
        <v>0.8</v>
      </c>
      <c r="O327" s="567">
        <v>0.8</v>
      </c>
      <c r="P327" s="241">
        <v>1.002</v>
      </c>
      <c r="Q327" s="567">
        <v>1.0</v>
      </c>
      <c r="R327" s="241"/>
      <c r="S327" s="567">
        <v>0.8</v>
      </c>
      <c r="T327" s="241">
        <v>0.8</v>
      </c>
      <c r="U327" s="567"/>
      <c r="V327" s="241">
        <v>1.0</v>
      </c>
      <c r="W327" s="62"/>
      <c r="X327" s="117"/>
      <c r="Y327" s="173"/>
      <c r="Z327" s="65"/>
    </row>
    <row r="328" ht="15.0" customHeight="1">
      <c r="B328" s="113"/>
      <c r="D328" s="559"/>
      <c r="E328" s="568"/>
      <c r="F328" s="562"/>
      <c r="L328" s="61"/>
      <c r="M328" s="62"/>
      <c r="N328" s="63"/>
      <c r="O328" s="62"/>
      <c r="P328" s="63"/>
      <c r="Q328" s="62"/>
      <c r="R328" s="63"/>
      <c r="S328" s="62"/>
      <c r="T328" s="63"/>
      <c r="U328" s="62"/>
      <c r="V328" s="63"/>
      <c r="W328" s="62"/>
      <c r="X328" s="117"/>
      <c r="Y328" s="173"/>
      <c r="Z328" s="65"/>
    </row>
    <row r="329" ht="14.25" customHeight="1">
      <c r="B329" s="113"/>
      <c r="D329" s="560" t="s">
        <v>1051</v>
      </c>
      <c r="E329" s="561"/>
      <c r="L329" s="61"/>
      <c r="M329" s="62"/>
      <c r="N329" s="63"/>
      <c r="O329" s="62"/>
      <c r="P329" s="63"/>
      <c r="Q329" s="62"/>
      <c r="R329" s="63"/>
      <c r="S329" s="62"/>
      <c r="T329" s="63"/>
      <c r="U329" s="62"/>
      <c r="V329" s="63"/>
      <c r="W329" s="62"/>
      <c r="X329" s="117"/>
      <c r="Y329" s="173"/>
      <c r="Z329" s="65"/>
    </row>
    <row r="330" ht="14.25" customHeight="1">
      <c r="B330" s="113"/>
      <c r="D330" s="569"/>
      <c r="E330" s="559" t="s">
        <v>1043</v>
      </c>
      <c r="L330" s="61"/>
      <c r="M330" s="62"/>
      <c r="N330" s="63"/>
      <c r="O330" s="62"/>
      <c r="P330" s="63"/>
      <c r="Q330" s="62"/>
      <c r="R330" s="63"/>
      <c r="S330" s="62"/>
      <c r="T330" s="63"/>
      <c r="U330" s="62"/>
      <c r="V330" s="63"/>
      <c r="W330" s="62"/>
      <c r="X330" s="117"/>
      <c r="Y330" s="173"/>
      <c r="Z330" s="65"/>
    </row>
    <row r="331" ht="14.25" customHeight="1">
      <c r="B331" s="113"/>
      <c r="D331" s="563"/>
      <c r="E331" s="564" t="s">
        <v>1052</v>
      </c>
      <c r="L331" s="61"/>
      <c r="M331" s="62"/>
      <c r="N331" s="63">
        <v>13.0</v>
      </c>
      <c r="O331" s="62">
        <v>12.0</v>
      </c>
      <c r="P331" s="63">
        <v>13.0</v>
      </c>
      <c r="Q331" s="62">
        <v>13.0</v>
      </c>
      <c r="R331" s="63">
        <f>SUM(N331:Q331)</f>
        <v>51</v>
      </c>
      <c r="S331" s="62">
        <v>14.0</v>
      </c>
      <c r="T331" s="63">
        <v>15.0</v>
      </c>
      <c r="U331" s="62">
        <v>69.0</v>
      </c>
      <c r="V331" s="63">
        <v>23.0</v>
      </c>
      <c r="W331" s="62">
        <f>SUM(S331:V331)</f>
        <v>121</v>
      </c>
      <c r="X331" s="117"/>
      <c r="Y331" s="173"/>
      <c r="Z331" s="65"/>
    </row>
    <row r="332" ht="14.25" customHeight="1">
      <c r="B332" s="113"/>
      <c r="D332" s="563"/>
      <c r="E332" s="565"/>
      <c r="L332" s="61"/>
      <c r="M332" s="62"/>
      <c r="N332" s="63"/>
      <c r="O332" s="62"/>
      <c r="P332" s="63"/>
      <c r="Q332" s="62"/>
      <c r="R332" s="63"/>
      <c r="S332" s="62"/>
      <c r="T332" s="63"/>
      <c r="U332" s="62"/>
      <c r="V332" s="63"/>
      <c r="W332" s="62"/>
      <c r="X332" s="117"/>
      <c r="Y332" s="173"/>
      <c r="Z332" s="65"/>
    </row>
    <row r="333" ht="14.25" customHeight="1">
      <c r="B333" s="113"/>
      <c r="D333" s="563"/>
      <c r="E333" s="570" t="s">
        <v>1046</v>
      </c>
      <c r="L333" s="61"/>
      <c r="M333" s="62"/>
      <c r="N333" s="63"/>
      <c r="O333" s="62"/>
      <c r="P333" s="63"/>
      <c r="Q333" s="62"/>
      <c r="R333" s="63"/>
      <c r="S333" s="62"/>
      <c r="T333" s="63"/>
      <c r="U333" s="62"/>
      <c r="V333" s="63"/>
      <c r="W333" s="62"/>
      <c r="X333" s="117"/>
      <c r="Y333" s="173"/>
      <c r="Z333" s="65"/>
    </row>
    <row r="334" ht="14.25" customHeight="1">
      <c r="B334" s="113"/>
      <c r="D334" s="563"/>
      <c r="E334" s="571"/>
      <c r="L334" s="61"/>
      <c r="M334" s="62"/>
      <c r="N334" s="63"/>
      <c r="O334" s="62"/>
      <c r="P334" s="63"/>
      <c r="Q334" s="62"/>
      <c r="R334" s="63"/>
      <c r="S334" s="62"/>
      <c r="T334" s="63"/>
      <c r="U334" s="62"/>
      <c r="V334" s="63"/>
      <c r="W334" s="62"/>
      <c r="X334" s="117"/>
      <c r="Y334" s="173"/>
      <c r="Z334" s="65"/>
    </row>
    <row r="335" ht="14.25" customHeight="1">
      <c r="B335" s="113"/>
      <c r="D335" s="559"/>
      <c r="E335" s="559" t="s">
        <v>1049</v>
      </c>
      <c r="L335" s="61"/>
      <c r="M335" s="62"/>
      <c r="N335" s="63"/>
      <c r="O335" s="62"/>
      <c r="P335" s="63"/>
      <c r="Q335" s="62"/>
      <c r="R335" s="63"/>
      <c r="S335" s="62"/>
      <c r="T335" s="63"/>
      <c r="U335" s="62"/>
      <c r="V335" s="63"/>
      <c r="W335" s="62"/>
      <c r="X335" s="117"/>
      <c r="Y335" s="173"/>
      <c r="Z335" s="65"/>
    </row>
    <row r="336" ht="14.25" customHeight="1">
      <c r="B336" s="113"/>
      <c r="D336" s="569"/>
      <c r="E336" s="564" t="s">
        <v>1053</v>
      </c>
      <c r="L336" s="61"/>
      <c r="M336" s="62"/>
      <c r="N336" s="241">
        <v>1.0</v>
      </c>
      <c r="O336" s="567">
        <v>1.0</v>
      </c>
      <c r="P336" s="241">
        <v>1.0</v>
      </c>
      <c r="Q336" s="567">
        <v>1.0</v>
      </c>
      <c r="R336" s="241"/>
      <c r="S336" s="567">
        <v>1.0</v>
      </c>
      <c r="T336" s="241">
        <v>1.0</v>
      </c>
      <c r="U336" s="567">
        <v>1.0</v>
      </c>
      <c r="V336" s="241">
        <v>1.0</v>
      </c>
      <c r="W336" s="62"/>
      <c r="X336" s="117"/>
      <c r="Y336" s="173"/>
      <c r="Z336" s="65"/>
    </row>
    <row r="337" ht="14.25" customHeight="1">
      <c r="B337" s="113"/>
      <c r="D337" s="559"/>
      <c r="E337" s="568"/>
      <c r="L337" s="61"/>
      <c r="M337" s="62"/>
      <c r="N337" s="63"/>
      <c r="O337" s="62"/>
      <c r="P337" s="63"/>
      <c r="Q337" s="62"/>
      <c r="R337" s="63"/>
      <c r="S337" s="62"/>
      <c r="T337" s="63"/>
      <c r="U337" s="62"/>
      <c r="V337" s="63"/>
      <c r="W337" s="62"/>
      <c r="X337" s="117"/>
      <c r="Y337" s="173"/>
      <c r="Z337" s="65"/>
    </row>
    <row r="338" ht="14.25" customHeight="1">
      <c r="B338" s="113"/>
      <c r="D338" s="560" t="s">
        <v>1054</v>
      </c>
      <c r="E338" s="561"/>
      <c r="L338" s="61"/>
      <c r="M338" s="62"/>
      <c r="N338" s="63"/>
      <c r="O338" s="62"/>
      <c r="P338" s="63"/>
      <c r="Q338" s="62"/>
      <c r="R338" s="63"/>
      <c r="S338" s="62"/>
      <c r="T338" s="63"/>
      <c r="U338" s="62"/>
      <c r="V338" s="63"/>
      <c r="W338" s="62"/>
      <c r="X338" s="117"/>
      <c r="Y338" s="173"/>
      <c r="Z338" s="65"/>
    </row>
    <row r="339" ht="14.25" customHeight="1">
      <c r="B339" s="113"/>
      <c r="D339" s="572"/>
      <c r="E339" s="573" t="s">
        <v>1043</v>
      </c>
      <c r="L339" s="61"/>
      <c r="M339" s="62"/>
      <c r="N339" s="63"/>
      <c r="O339" s="62"/>
      <c r="P339" s="63"/>
      <c r="Q339" s="62"/>
      <c r="R339" s="63"/>
      <c r="S339" s="62"/>
      <c r="T339" s="63"/>
      <c r="U339" s="62"/>
      <c r="V339" s="63"/>
      <c r="W339" s="62"/>
      <c r="X339" s="117"/>
      <c r="Y339" s="173"/>
      <c r="Z339" s="65"/>
    </row>
    <row r="340" ht="14.25" customHeight="1">
      <c r="B340" s="113"/>
      <c r="D340" s="574"/>
      <c r="E340" s="564" t="s">
        <v>1055</v>
      </c>
      <c r="L340" s="61"/>
      <c r="M340" s="62"/>
      <c r="N340" s="63">
        <v>47760.0</v>
      </c>
      <c r="O340" s="62">
        <v>47760.0</v>
      </c>
      <c r="P340" s="63">
        <v>48866.0</v>
      </c>
      <c r="Q340" s="62">
        <v>50593.0</v>
      </c>
      <c r="R340" s="63">
        <v>50593.0</v>
      </c>
      <c r="S340" s="62">
        <v>47760.0</v>
      </c>
      <c r="T340" s="63">
        <v>6441.0</v>
      </c>
      <c r="U340" s="62">
        <v>48866.0</v>
      </c>
      <c r="V340" s="63">
        <v>50593.0</v>
      </c>
      <c r="W340" s="62">
        <v>50593.0</v>
      </c>
      <c r="X340" s="117"/>
      <c r="Y340" s="173"/>
      <c r="Z340" s="65"/>
    </row>
    <row r="341" ht="14.25" customHeight="1">
      <c r="B341" s="113"/>
      <c r="D341" s="574"/>
      <c r="E341" s="565"/>
      <c r="L341" s="61"/>
      <c r="M341" s="62"/>
      <c r="N341" s="63"/>
      <c r="O341" s="62"/>
      <c r="P341" s="63"/>
      <c r="Q341" s="62"/>
      <c r="R341" s="63"/>
      <c r="S341" s="62"/>
      <c r="T341" s="63"/>
      <c r="U341" s="62"/>
      <c r="V341" s="63"/>
      <c r="W341" s="62"/>
      <c r="X341" s="117"/>
      <c r="Y341" s="173"/>
      <c r="Z341" s="65"/>
    </row>
    <row r="342" ht="14.25" customHeight="1">
      <c r="B342" s="113"/>
      <c r="D342" s="574"/>
      <c r="E342" s="573" t="s">
        <v>1046</v>
      </c>
      <c r="L342" s="61"/>
      <c r="M342" s="62"/>
      <c r="N342" s="241"/>
      <c r="O342" s="567"/>
      <c r="P342" s="241"/>
      <c r="Q342" s="567"/>
      <c r="R342" s="241"/>
      <c r="S342" s="567"/>
      <c r="T342" s="241"/>
      <c r="U342" s="567"/>
      <c r="V342" s="241"/>
      <c r="W342" s="62"/>
      <c r="X342" s="117"/>
      <c r="Y342" s="173"/>
      <c r="Z342" s="65"/>
    </row>
    <row r="343" ht="14.25" customHeight="1">
      <c r="B343" s="113"/>
      <c r="D343" s="575"/>
      <c r="E343" s="576" t="s">
        <v>1056</v>
      </c>
      <c r="L343" s="61"/>
      <c r="M343" s="62"/>
      <c r="N343" s="241"/>
      <c r="O343" s="567"/>
      <c r="P343" s="241"/>
      <c r="Q343" s="567"/>
      <c r="R343" s="241"/>
      <c r="S343" s="567"/>
      <c r="T343" s="241">
        <v>0.007</v>
      </c>
      <c r="U343" s="567"/>
      <c r="V343" s="241"/>
      <c r="W343" s="62"/>
      <c r="X343" s="117"/>
      <c r="Y343" s="173"/>
      <c r="Z343" s="65"/>
    </row>
    <row r="344" ht="14.25" customHeight="1">
      <c r="B344" s="113"/>
      <c r="D344" s="574"/>
      <c r="E344" s="565"/>
      <c r="L344" s="61"/>
      <c r="M344" s="62"/>
      <c r="N344" s="241"/>
      <c r="O344" s="567"/>
      <c r="P344" s="241"/>
      <c r="Q344" s="567"/>
      <c r="R344" s="241"/>
      <c r="S344" s="567"/>
      <c r="T344" s="241"/>
      <c r="U344" s="567"/>
      <c r="V344" s="241"/>
      <c r="W344" s="62"/>
      <c r="X344" s="117"/>
      <c r="Y344" s="173"/>
      <c r="Z344" s="65"/>
    </row>
    <row r="345" ht="14.25" customHeight="1">
      <c r="B345" s="113"/>
      <c r="D345" s="574"/>
      <c r="E345" s="573" t="s">
        <v>1049</v>
      </c>
      <c r="L345" s="61"/>
      <c r="M345" s="62"/>
      <c r="N345" s="241"/>
      <c r="O345" s="567"/>
      <c r="P345" s="241"/>
      <c r="Q345" s="567"/>
      <c r="R345" s="241"/>
      <c r="S345" s="567"/>
      <c r="T345" s="241"/>
      <c r="U345" s="567"/>
      <c r="V345" s="241"/>
      <c r="W345" s="62"/>
      <c r="X345" s="117"/>
      <c r="Y345" s="173"/>
      <c r="Z345" s="65"/>
    </row>
    <row r="346" ht="14.25" customHeight="1">
      <c r="B346" s="113"/>
      <c r="D346" s="574"/>
      <c r="E346" s="564" t="s">
        <v>1057</v>
      </c>
      <c r="L346" s="61"/>
      <c r="M346" s="62"/>
      <c r="N346" s="241"/>
      <c r="O346" s="567"/>
      <c r="P346" s="241">
        <v>1.0</v>
      </c>
      <c r="Q346" s="567">
        <v>1.0</v>
      </c>
      <c r="R346" s="241"/>
      <c r="S346" s="567">
        <v>1.0</v>
      </c>
      <c r="T346" s="241">
        <v>1.0</v>
      </c>
      <c r="U346" s="567">
        <v>1.0</v>
      </c>
      <c r="V346" s="241">
        <v>1.0</v>
      </c>
      <c r="W346" s="62"/>
      <c r="X346" s="117"/>
      <c r="Y346" s="173"/>
      <c r="Z346" s="65"/>
    </row>
    <row r="347" ht="14.25" customHeight="1">
      <c r="B347" s="113"/>
      <c r="D347" s="574"/>
      <c r="E347" s="565"/>
      <c r="L347" s="61"/>
      <c r="M347" s="62"/>
      <c r="N347" s="63"/>
      <c r="O347" s="62"/>
      <c r="P347" s="63"/>
      <c r="Q347" s="62"/>
      <c r="R347" s="63"/>
      <c r="S347" s="62"/>
      <c r="T347" s="63"/>
      <c r="U347" s="62"/>
      <c r="V347" s="63"/>
      <c r="W347" s="62"/>
      <c r="X347" s="117"/>
      <c r="Y347" s="173"/>
      <c r="Z347" s="65"/>
    </row>
    <row r="348" ht="14.25" customHeight="1">
      <c r="B348" s="113"/>
      <c r="D348" s="560" t="s">
        <v>1201</v>
      </c>
      <c r="E348" s="561"/>
      <c r="L348" s="61"/>
      <c r="M348" s="62"/>
      <c r="N348" s="63"/>
      <c r="O348" s="62"/>
      <c r="P348" s="63"/>
      <c r="Q348" s="62"/>
      <c r="R348" s="63"/>
      <c r="S348" s="62"/>
      <c r="T348" s="63"/>
      <c r="U348" s="62"/>
      <c r="V348" s="63"/>
      <c r="W348" s="62"/>
      <c r="X348" s="117"/>
      <c r="Y348" s="173"/>
      <c r="Z348" s="65"/>
    </row>
    <row r="349" ht="14.25" customHeight="1">
      <c r="B349" s="113"/>
      <c r="D349" s="569"/>
      <c r="E349" s="573" t="s">
        <v>1043</v>
      </c>
      <c r="L349" s="61"/>
      <c r="M349" s="62"/>
      <c r="N349" s="63"/>
      <c r="O349" s="62"/>
      <c r="P349" s="63"/>
      <c r="Q349" s="62"/>
      <c r="R349" s="63"/>
      <c r="S349" s="62"/>
      <c r="T349" s="63"/>
      <c r="U349" s="62"/>
      <c r="V349" s="63"/>
      <c r="W349" s="62"/>
      <c r="X349" s="117"/>
      <c r="Y349" s="173"/>
      <c r="Z349" s="65"/>
    </row>
    <row r="350" ht="14.25" customHeight="1">
      <c r="B350" s="113"/>
      <c r="D350" s="563"/>
      <c r="E350" s="577" t="s">
        <v>1059</v>
      </c>
      <c r="L350" s="61"/>
      <c r="M350" s="62"/>
      <c r="N350" s="63"/>
      <c r="O350" s="62"/>
      <c r="P350" s="63"/>
      <c r="Q350" s="62"/>
      <c r="R350" s="63"/>
      <c r="S350" s="62"/>
      <c r="T350" s="63"/>
      <c r="U350" s="62"/>
      <c r="V350" s="63"/>
      <c r="W350" s="62"/>
      <c r="X350" s="117"/>
      <c r="Y350" s="173"/>
      <c r="Z350" s="65"/>
    </row>
    <row r="351" ht="14.25" customHeight="1">
      <c r="B351" s="113"/>
      <c r="D351" s="563"/>
      <c r="E351" s="577" t="s">
        <v>1060</v>
      </c>
      <c r="L351" s="61"/>
      <c r="M351" s="62"/>
      <c r="N351" s="63"/>
      <c r="O351" s="62"/>
      <c r="P351" s="63"/>
      <c r="Q351" s="62"/>
      <c r="R351" s="63"/>
      <c r="S351" s="62"/>
      <c r="T351" s="63"/>
      <c r="U351" s="62"/>
      <c r="V351" s="63"/>
      <c r="W351" s="62"/>
      <c r="X351" s="117"/>
      <c r="Y351" s="173"/>
      <c r="Z351" s="65"/>
    </row>
    <row r="352" ht="14.25" customHeight="1">
      <c r="B352" s="113"/>
      <c r="D352" s="563"/>
      <c r="E352" s="577" t="s">
        <v>1061</v>
      </c>
      <c r="L352" s="61"/>
      <c r="M352" s="62"/>
      <c r="N352" s="63"/>
      <c r="O352" s="62"/>
      <c r="P352" s="63"/>
      <c r="Q352" s="62"/>
      <c r="R352" s="63"/>
      <c r="S352" s="62"/>
      <c r="T352" s="63"/>
      <c r="U352" s="62"/>
      <c r="V352" s="63"/>
      <c r="W352" s="62"/>
      <c r="X352" s="117"/>
      <c r="Y352" s="173"/>
      <c r="Z352" s="65"/>
    </row>
    <row r="353" ht="14.25" customHeight="1">
      <c r="B353" s="113"/>
      <c r="D353" s="563"/>
      <c r="E353" s="577" t="s">
        <v>1062</v>
      </c>
      <c r="L353" s="61"/>
      <c r="M353" s="62"/>
      <c r="N353" s="63"/>
      <c r="O353" s="62"/>
      <c r="P353" s="63"/>
      <c r="Q353" s="62"/>
      <c r="R353" s="63"/>
      <c r="S353" s="62"/>
      <c r="T353" s="63"/>
      <c r="U353" s="62"/>
      <c r="V353" s="63"/>
      <c r="W353" s="62"/>
      <c r="X353" s="117"/>
      <c r="Y353" s="173"/>
      <c r="Z353" s="65"/>
    </row>
    <row r="354" ht="14.25" customHeight="1">
      <c r="B354" s="113"/>
      <c r="D354" s="572"/>
      <c r="E354" s="573" t="s">
        <v>1046</v>
      </c>
      <c r="L354" s="61"/>
      <c r="M354" s="62"/>
      <c r="N354" s="63"/>
      <c r="O354" s="62"/>
      <c r="P354" s="63"/>
      <c r="Q354" s="62"/>
      <c r="R354" s="63"/>
      <c r="S354" s="62"/>
      <c r="T354" s="63"/>
      <c r="U354" s="62"/>
      <c r="V354" s="63"/>
      <c r="W354" s="62"/>
      <c r="X354" s="117"/>
      <c r="Y354" s="173"/>
      <c r="Z354" s="65"/>
    </row>
    <row r="355" ht="14.25" customHeight="1">
      <c r="B355" s="113"/>
      <c r="D355" s="563"/>
      <c r="E355" s="577" t="s">
        <v>1063</v>
      </c>
      <c r="L355" s="61"/>
      <c r="M355" s="62"/>
      <c r="N355" s="63"/>
      <c r="O355" s="62"/>
      <c r="P355" s="63"/>
      <c r="Q355" s="62"/>
      <c r="R355" s="63"/>
      <c r="S355" s="62"/>
      <c r="T355" s="63"/>
      <c r="U355" s="62"/>
      <c r="V355" s="63"/>
      <c r="W355" s="62"/>
      <c r="X355" s="117"/>
      <c r="Y355" s="173"/>
      <c r="Z355" s="65"/>
    </row>
    <row r="356" ht="14.25" customHeight="1">
      <c r="B356" s="113"/>
      <c r="D356" s="563"/>
      <c r="E356" s="577" t="s">
        <v>1064</v>
      </c>
      <c r="L356" s="61"/>
      <c r="M356" s="62"/>
      <c r="N356" s="63"/>
      <c r="O356" s="62"/>
      <c r="P356" s="63"/>
      <c r="Q356" s="62"/>
      <c r="R356" s="63"/>
      <c r="S356" s="62"/>
      <c r="T356" s="63"/>
      <c r="U356" s="62"/>
      <c r="V356" s="63"/>
      <c r="W356" s="62"/>
      <c r="X356" s="117"/>
      <c r="Y356" s="173"/>
      <c r="Z356" s="65"/>
    </row>
    <row r="357" ht="14.25" customHeight="1">
      <c r="B357" s="113"/>
      <c r="D357" s="572"/>
      <c r="E357" s="577" t="s">
        <v>1065</v>
      </c>
      <c r="L357" s="61"/>
      <c r="M357" s="62"/>
      <c r="N357" s="63"/>
      <c r="O357" s="62"/>
      <c r="P357" s="63"/>
      <c r="Q357" s="62"/>
      <c r="R357" s="63"/>
      <c r="S357" s="62"/>
      <c r="T357" s="63"/>
      <c r="U357" s="62"/>
      <c r="V357" s="63"/>
      <c r="W357" s="62"/>
      <c r="X357" s="117"/>
      <c r="Y357" s="173"/>
      <c r="Z357" s="65"/>
    </row>
    <row r="358" ht="14.25" customHeight="1">
      <c r="B358" s="113"/>
      <c r="D358" s="572"/>
      <c r="E358" s="577" t="s">
        <v>1066</v>
      </c>
      <c r="L358" s="61"/>
      <c r="M358" s="62"/>
      <c r="N358" s="63"/>
      <c r="O358" s="62"/>
      <c r="P358" s="63"/>
      <c r="Q358" s="62"/>
      <c r="R358" s="63"/>
      <c r="S358" s="62"/>
      <c r="T358" s="63"/>
      <c r="U358" s="62"/>
      <c r="V358" s="63"/>
      <c r="W358" s="62"/>
      <c r="X358" s="117"/>
      <c r="Y358" s="173"/>
      <c r="Z358" s="65"/>
    </row>
    <row r="359" ht="14.25" customHeight="1">
      <c r="B359" s="113"/>
      <c r="D359" s="572"/>
      <c r="E359" s="578"/>
      <c r="L359" s="61"/>
      <c r="M359" s="62"/>
      <c r="N359" s="63"/>
      <c r="O359" s="62"/>
      <c r="P359" s="63"/>
      <c r="Q359" s="62"/>
      <c r="R359" s="63"/>
      <c r="S359" s="62"/>
      <c r="T359" s="63"/>
      <c r="U359" s="62"/>
      <c r="V359" s="63"/>
      <c r="W359" s="62"/>
      <c r="X359" s="117"/>
      <c r="Y359" s="173"/>
      <c r="Z359" s="65"/>
    </row>
    <row r="360" ht="14.25" customHeight="1">
      <c r="B360" s="113"/>
      <c r="D360" s="572"/>
      <c r="E360" s="573" t="s">
        <v>1049</v>
      </c>
      <c r="L360" s="61"/>
      <c r="M360" s="62"/>
      <c r="N360" s="63"/>
      <c r="O360" s="62"/>
      <c r="P360" s="63"/>
      <c r="Q360" s="62"/>
      <c r="R360" s="63"/>
      <c r="S360" s="62"/>
      <c r="T360" s="63"/>
      <c r="U360" s="62"/>
      <c r="V360" s="63"/>
      <c r="W360" s="62"/>
      <c r="X360" s="117"/>
      <c r="Y360" s="173"/>
      <c r="Z360" s="65"/>
    </row>
    <row r="361" ht="14.25" customHeight="1">
      <c r="B361" s="113"/>
      <c r="D361" s="563"/>
      <c r="E361" s="577" t="s">
        <v>1067</v>
      </c>
      <c r="L361" s="61"/>
      <c r="M361" s="62"/>
      <c r="N361" s="63"/>
      <c r="O361" s="62"/>
      <c r="P361" s="63"/>
      <c r="Q361" s="62"/>
      <c r="R361" s="63"/>
      <c r="S361" s="62"/>
      <c r="T361" s="63"/>
      <c r="U361" s="62"/>
      <c r="V361" s="63"/>
      <c r="W361" s="62"/>
      <c r="X361" s="117"/>
      <c r="Y361" s="173"/>
      <c r="Z361" s="65"/>
    </row>
    <row r="362" ht="14.25" customHeight="1">
      <c r="B362" s="113"/>
      <c r="D362" s="572"/>
      <c r="E362" s="577" t="s">
        <v>1068</v>
      </c>
      <c r="L362" s="61"/>
      <c r="M362" s="62"/>
      <c r="N362" s="63"/>
      <c r="O362" s="62"/>
      <c r="P362" s="63"/>
      <c r="Q362" s="62"/>
      <c r="R362" s="63"/>
      <c r="S362" s="62"/>
      <c r="T362" s="63"/>
      <c r="U362" s="62"/>
      <c r="V362" s="63"/>
      <c r="W362" s="62"/>
      <c r="X362" s="117"/>
      <c r="Y362" s="173"/>
      <c r="Z362" s="65"/>
    </row>
    <row r="363" ht="14.25" customHeight="1">
      <c r="B363" s="113"/>
      <c r="D363" s="572"/>
      <c r="E363" s="577" t="s">
        <v>1069</v>
      </c>
      <c r="L363" s="61"/>
      <c r="M363" s="62"/>
      <c r="N363" s="63"/>
      <c r="O363" s="62"/>
      <c r="P363" s="63"/>
      <c r="Q363" s="62"/>
      <c r="R363" s="63"/>
      <c r="S363" s="62"/>
      <c r="T363" s="63"/>
      <c r="U363" s="62"/>
      <c r="V363" s="63"/>
      <c r="W363" s="62"/>
      <c r="X363" s="117"/>
      <c r="Y363" s="173"/>
      <c r="Z363" s="65"/>
    </row>
    <row r="364" ht="14.25" customHeight="1">
      <c r="B364" s="113"/>
      <c r="D364" s="572"/>
      <c r="E364" s="577" t="s">
        <v>1070</v>
      </c>
      <c r="L364" s="61"/>
      <c r="M364" s="62"/>
      <c r="N364" s="63"/>
      <c r="O364" s="62"/>
      <c r="P364" s="63"/>
      <c r="Q364" s="62"/>
      <c r="R364" s="63"/>
      <c r="S364" s="62"/>
      <c r="T364" s="63"/>
      <c r="U364" s="62"/>
      <c r="V364" s="63"/>
      <c r="W364" s="62"/>
      <c r="X364" s="117"/>
      <c r="Y364" s="173"/>
      <c r="Z364" s="65"/>
    </row>
    <row r="365" ht="14.25" customHeight="1">
      <c r="B365" s="113"/>
      <c r="D365" s="560" t="s">
        <v>1071</v>
      </c>
      <c r="E365" s="561"/>
      <c r="L365" s="61"/>
      <c r="M365" s="62"/>
      <c r="N365" s="63"/>
      <c r="O365" s="62"/>
      <c r="P365" s="63"/>
      <c r="Q365" s="62"/>
      <c r="R365" s="63"/>
      <c r="S365" s="62"/>
      <c r="T365" s="63"/>
      <c r="U365" s="62"/>
      <c r="V365" s="63"/>
      <c r="W365" s="62"/>
      <c r="X365" s="117"/>
      <c r="Y365" s="173"/>
      <c r="Z365" s="65"/>
    </row>
    <row r="366" ht="14.25" customHeight="1">
      <c r="B366" s="113"/>
      <c r="D366" s="574"/>
      <c r="E366" s="573" t="s">
        <v>1043</v>
      </c>
      <c r="L366" s="61"/>
      <c r="M366" s="62"/>
      <c r="N366" s="63"/>
      <c r="O366" s="62"/>
      <c r="P366" s="63"/>
      <c r="Q366" s="62"/>
      <c r="R366" s="63"/>
      <c r="S366" s="62"/>
      <c r="T366" s="63"/>
      <c r="U366" s="62"/>
      <c r="V366" s="63"/>
      <c r="W366" s="62"/>
      <c r="X366" s="117"/>
      <c r="Y366" s="173"/>
      <c r="Z366" s="65"/>
    </row>
    <row r="367" ht="14.25" customHeight="1">
      <c r="B367" s="113"/>
      <c r="D367" s="575"/>
      <c r="E367" s="564" t="s">
        <v>1072</v>
      </c>
      <c r="L367" s="61"/>
      <c r="M367" s="62"/>
      <c r="N367" s="63" t="s">
        <v>131</v>
      </c>
      <c r="O367" s="62" t="s">
        <v>131</v>
      </c>
      <c r="P367" s="63" t="s">
        <v>131</v>
      </c>
      <c r="Q367" s="62" t="s">
        <v>131</v>
      </c>
      <c r="R367" s="63"/>
      <c r="S367" s="62">
        <v>4.0</v>
      </c>
      <c r="T367" s="63">
        <v>4.0</v>
      </c>
      <c r="U367" s="62">
        <v>4.0</v>
      </c>
      <c r="V367" s="63">
        <v>3.0</v>
      </c>
      <c r="W367" s="62"/>
      <c r="X367" s="117"/>
      <c r="Y367" s="173"/>
      <c r="Z367" s="65"/>
    </row>
    <row r="368" ht="14.25" customHeight="1">
      <c r="B368" s="113"/>
      <c r="D368" s="575"/>
      <c r="E368" s="565"/>
      <c r="L368" s="61"/>
      <c r="M368" s="62"/>
      <c r="N368" s="63"/>
      <c r="O368" s="62"/>
      <c r="P368" s="63"/>
      <c r="Q368" s="62"/>
      <c r="R368" s="63"/>
      <c r="S368" s="62"/>
      <c r="T368" s="63"/>
      <c r="U368" s="62"/>
      <c r="V368" s="63"/>
      <c r="W368" s="62"/>
      <c r="X368" s="117"/>
      <c r="Y368" s="173"/>
      <c r="Z368" s="65"/>
    </row>
    <row r="369" ht="14.25" customHeight="1">
      <c r="B369" s="113"/>
      <c r="D369" s="574"/>
      <c r="E369" s="573" t="s">
        <v>1046</v>
      </c>
      <c r="L369" s="61"/>
      <c r="M369" s="62"/>
      <c r="N369" s="63"/>
      <c r="O369" s="62"/>
      <c r="P369" s="63"/>
      <c r="Q369" s="62"/>
      <c r="R369" s="63"/>
      <c r="S369" s="62"/>
      <c r="T369" s="63"/>
      <c r="U369" s="62"/>
      <c r="V369" s="63"/>
      <c r="W369" s="62"/>
      <c r="X369" s="117"/>
      <c r="Y369" s="173"/>
      <c r="Z369" s="65"/>
    </row>
    <row r="370" ht="14.25" customHeight="1">
      <c r="B370" s="113"/>
      <c r="D370" s="575"/>
      <c r="E370" s="564" t="s">
        <v>1073</v>
      </c>
      <c r="L370" s="61"/>
      <c r="M370" s="62"/>
      <c r="N370" s="241">
        <v>0.0</v>
      </c>
      <c r="O370" s="567">
        <v>0.0</v>
      </c>
      <c r="P370" s="241">
        <v>0.0</v>
      </c>
      <c r="Q370" s="567">
        <v>0.0</v>
      </c>
      <c r="R370" s="241"/>
      <c r="S370" s="567">
        <v>0.0</v>
      </c>
      <c r="T370" s="241">
        <v>0.0</v>
      </c>
      <c r="U370" s="567">
        <v>0.0</v>
      </c>
      <c r="V370" s="241">
        <v>0.0</v>
      </c>
      <c r="W370" s="62"/>
      <c r="X370" s="117"/>
      <c r="Y370" s="173"/>
      <c r="Z370" s="65"/>
    </row>
    <row r="371" ht="14.25" customHeight="1">
      <c r="B371" s="113"/>
      <c r="D371" s="574"/>
      <c r="E371" s="565"/>
      <c r="L371" s="61"/>
      <c r="M371" s="62"/>
      <c r="N371" s="241"/>
      <c r="O371" s="567"/>
      <c r="P371" s="241"/>
      <c r="Q371" s="567"/>
      <c r="R371" s="241"/>
      <c r="S371" s="567"/>
      <c r="T371" s="241"/>
      <c r="U371" s="567"/>
      <c r="V371" s="241"/>
      <c r="W371" s="62"/>
      <c r="X371" s="117"/>
      <c r="Y371" s="173"/>
      <c r="Z371" s="65"/>
    </row>
    <row r="372" ht="14.25" customHeight="1">
      <c r="B372" s="113"/>
      <c r="D372" s="574"/>
      <c r="E372" s="573" t="s">
        <v>1049</v>
      </c>
      <c r="L372" s="61"/>
      <c r="M372" s="62"/>
      <c r="N372" s="241"/>
      <c r="O372" s="567"/>
      <c r="P372" s="241"/>
      <c r="Q372" s="567"/>
      <c r="R372" s="241"/>
      <c r="S372" s="567"/>
      <c r="T372" s="241"/>
      <c r="U372" s="567"/>
      <c r="V372" s="241"/>
      <c r="W372" s="62"/>
      <c r="X372" s="117"/>
      <c r="Y372" s="173"/>
      <c r="Z372" s="65"/>
    </row>
    <row r="373" ht="14.25" customHeight="1">
      <c r="B373" s="113"/>
      <c r="D373" s="575"/>
      <c r="E373" s="576" t="s">
        <v>1074</v>
      </c>
      <c r="L373" s="61"/>
      <c r="M373" s="62"/>
      <c r="N373" s="241">
        <v>1.0</v>
      </c>
      <c r="O373" s="567">
        <v>1.0</v>
      </c>
      <c r="P373" s="241">
        <v>1.0</v>
      </c>
      <c r="Q373" s="567">
        <v>1.0</v>
      </c>
      <c r="R373" s="241"/>
      <c r="S373" s="567">
        <v>1.0</v>
      </c>
      <c r="T373" s="241">
        <v>1.0</v>
      </c>
      <c r="U373" s="567">
        <v>1.0</v>
      </c>
      <c r="V373" s="241">
        <v>1.0</v>
      </c>
      <c r="W373" s="62"/>
      <c r="X373" s="117"/>
      <c r="Y373" s="173"/>
      <c r="Z373" s="65"/>
    </row>
    <row r="374" ht="14.25" customHeight="1">
      <c r="B374" s="113"/>
      <c r="L374" s="61"/>
      <c r="M374" s="62"/>
      <c r="N374" s="241"/>
      <c r="O374" s="567"/>
      <c r="P374" s="241"/>
      <c r="Q374" s="567"/>
      <c r="R374" s="241"/>
      <c r="S374" s="567"/>
      <c r="T374" s="241"/>
      <c r="U374" s="567"/>
      <c r="V374" s="241"/>
      <c r="W374" s="62"/>
      <c r="X374" s="117"/>
      <c r="Y374" s="173"/>
      <c r="Z374" s="65"/>
    </row>
    <row r="375" ht="14.25" customHeight="1">
      <c r="B375" s="113"/>
      <c r="L375" s="61"/>
      <c r="M375" s="62"/>
      <c r="N375" s="63"/>
      <c r="O375" s="62"/>
      <c r="P375" s="63"/>
      <c r="Q375" s="62"/>
      <c r="R375" s="63"/>
      <c r="S375" s="62"/>
      <c r="T375" s="63"/>
      <c r="U375" s="62"/>
      <c r="V375" s="63"/>
      <c r="W375" s="62"/>
      <c r="X375" s="117"/>
      <c r="Y375" s="173"/>
      <c r="Z375" s="65"/>
    </row>
    <row r="376" ht="14.25" customHeight="1">
      <c r="B376" s="60" t="s">
        <v>1040</v>
      </c>
      <c r="C376" s="579"/>
      <c r="D376" s="579"/>
      <c r="E376" s="579"/>
      <c r="F376" s="579"/>
      <c r="G376" s="579"/>
      <c r="H376" s="579"/>
      <c r="I376" s="579"/>
      <c r="J376" s="579"/>
      <c r="K376" s="579"/>
      <c r="L376" s="580"/>
      <c r="M376" s="581"/>
      <c r="N376" s="63"/>
      <c r="O376" s="62"/>
      <c r="P376" s="63"/>
      <c r="Q376" s="62"/>
      <c r="R376" s="63"/>
      <c r="S376" s="62"/>
      <c r="T376" s="63"/>
      <c r="U376" s="62"/>
      <c r="V376" s="63"/>
      <c r="W376" s="62"/>
      <c r="X376" s="117"/>
      <c r="Y376" s="173"/>
      <c r="Z376" s="65"/>
    </row>
    <row r="377" ht="14.25" customHeight="1">
      <c r="B377" s="60" t="s">
        <v>1075</v>
      </c>
      <c r="C377" s="579"/>
      <c r="D377" s="579"/>
      <c r="E377" s="579"/>
      <c r="F377" s="579"/>
      <c r="G377" s="579"/>
      <c r="H377" s="579"/>
      <c r="I377" s="579"/>
      <c r="J377" s="579"/>
      <c r="K377" s="579"/>
      <c r="L377" s="580"/>
      <c r="M377" s="581"/>
      <c r="N377" s="63"/>
      <c r="O377" s="62"/>
      <c r="P377" s="63"/>
      <c r="Q377" s="62"/>
      <c r="R377" s="63"/>
      <c r="S377" s="62"/>
      <c r="T377" s="63"/>
      <c r="U377" s="62"/>
      <c r="V377" s="63"/>
      <c r="W377" s="62"/>
      <c r="X377" s="117"/>
      <c r="Y377" s="173"/>
      <c r="Z377" s="65"/>
    </row>
    <row r="378" ht="14.25" customHeight="1">
      <c r="B378" s="113"/>
      <c r="L378" s="61"/>
      <c r="M378" s="62"/>
      <c r="N378" s="63"/>
      <c r="O378" s="62"/>
      <c r="P378" s="63"/>
      <c r="Q378" s="62"/>
      <c r="R378" s="63"/>
      <c r="S378" s="62"/>
      <c r="T378" s="63"/>
      <c r="U378" s="62"/>
      <c r="V378" s="63"/>
      <c r="W378" s="62"/>
      <c r="X378" s="117"/>
      <c r="Y378" s="173"/>
      <c r="Z378" s="65"/>
    </row>
    <row r="379" ht="14.25" customHeight="1">
      <c r="B379" s="113"/>
      <c r="D379" s="560" t="s">
        <v>1076</v>
      </c>
      <c r="E379" s="561"/>
      <c r="L379" s="61"/>
      <c r="M379" s="62"/>
      <c r="N379" s="63"/>
      <c r="O379" s="62"/>
      <c r="P379" s="63"/>
      <c r="Q379" s="62"/>
      <c r="R379" s="63"/>
      <c r="S379" s="62"/>
      <c r="T379" s="63"/>
      <c r="U379" s="62"/>
      <c r="V379" s="63"/>
      <c r="W379" s="62"/>
      <c r="X379" s="117"/>
      <c r="Y379" s="173"/>
      <c r="Z379" s="65"/>
    </row>
    <row r="380" ht="14.25" customHeight="1">
      <c r="B380" s="113"/>
      <c r="D380" s="559"/>
      <c r="E380" s="559" t="s">
        <v>1043</v>
      </c>
      <c r="L380" s="61"/>
      <c r="M380" s="62"/>
      <c r="N380" s="63"/>
      <c r="O380" s="62"/>
      <c r="P380" s="63"/>
      <c r="Q380" s="62"/>
      <c r="R380" s="63"/>
      <c r="S380" s="62"/>
      <c r="T380" s="63"/>
      <c r="U380" s="62"/>
      <c r="V380" s="63"/>
      <c r="W380" s="62"/>
      <c r="X380" s="117"/>
      <c r="Y380" s="173"/>
      <c r="Z380" s="65"/>
    </row>
    <row r="381" ht="14.25" customHeight="1">
      <c r="B381" s="113"/>
      <c r="D381" s="559"/>
      <c r="E381" s="576" t="s">
        <v>1077</v>
      </c>
      <c r="L381" s="61"/>
      <c r="M381" s="62"/>
      <c r="N381" s="63">
        <v>285800.0</v>
      </c>
      <c r="O381" s="62">
        <v>283150.0</v>
      </c>
      <c r="P381" s="63">
        <v>283150.0</v>
      </c>
      <c r="Q381" s="62">
        <v>259906.0</v>
      </c>
      <c r="R381" s="63">
        <f>SUM(N381:Q381)</f>
        <v>1112006</v>
      </c>
      <c r="S381" s="62">
        <v>259906.0</v>
      </c>
      <c r="T381" s="63">
        <v>259415.0</v>
      </c>
      <c r="U381" s="62">
        <v>252025.0</v>
      </c>
      <c r="V381" s="63">
        <v>252551.0</v>
      </c>
      <c r="W381" s="62">
        <v>252551.0</v>
      </c>
      <c r="X381" s="117"/>
      <c r="Y381" s="173"/>
      <c r="Z381" s="65"/>
    </row>
    <row r="382" ht="14.25" customHeight="1">
      <c r="B382" s="113"/>
      <c r="D382" s="559"/>
      <c r="E382" s="565"/>
      <c r="L382" s="61"/>
      <c r="M382" s="62"/>
      <c r="N382" s="63"/>
      <c r="O382" s="62"/>
      <c r="P382" s="63"/>
      <c r="Q382" s="62"/>
      <c r="R382" s="63"/>
      <c r="S382" s="62"/>
      <c r="T382" s="63"/>
      <c r="U382" s="62"/>
      <c r="V382" s="63"/>
      <c r="W382" s="62"/>
      <c r="X382" s="117"/>
      <c r="Y382" s="173"/>
      <c r="Z382" s="65"/>
    </row>
    <row r="383" ht="14.25" customHeight="1">
      <c r="B383" s="113"/>
      <c r="D383" s="559"/>
      <c r="E383" s="559" t="s">
        <v>1046</v>
      </c>
      <c r="L383" s="61"/>
      <c r="M383" s="62"/>
      <c r="N383" s="63"/>
      <c r="O383" s="62"/>
      <c r="P383" s="63"/>
      <c r="Q383" s="62"/>
      <c r="R383" s="63"/>
      <c r="S383" s="62"/>
      <c r="T383" s="63"/>
      <c r="U383" s="62"/>
      <c r="V383" s="63"/>
      <c r="W383" s="62"/>
      <c r="X383" s="117"/>
      <c r="Y383" s="173"/>
      <c r="Z383" s="65"/>
    </row>
    <row r="384" ht="14.25" customHeight="1">
      <c r="B384" s="113"/>
      <c r="D384" s="559"/>
      <c r="E384" s="576" t="s">
        <v>1078</v>
      </c>
      <c r="L384" s="61"/>
      <c r="M384" s="62"/>
      <c r="N384" s="241">
        <v>1.0</v>
      </c>
      <c r="O384" s="567">
        <v>1.0</v>
      </c>
      <c r="P384" s="241">
        <v>1.0</v>
      </c>
      <c r="Q384" s="567">
        <v>1.0</v>
      </c>
      <c r="R384" s="241"/>
      <c r="S384" s="567">
        <v>0.9713</v>
      </c>
      <c r="T384" s="241">
        <v>0.9877</v>
      </c>
      <c r="U384" s="567">
        <v>0.9875</v>
      </c>
      <c r="V384" s="241">
        <v>0.9875</v>
      </c>
      <c r="W384" s="62"/>
      <c r="X384" s="117"/>
      <c r="Y384" s="173"/>
      <c r="Z384" s="65"/>
    </row>
    <row r="385" ht="14.25" customHeight="1">
      <c r="B385" s="113"/>
      <c r="D385" s="559"/>
      <c r="E385" s="565"/>
      <c r="L385" s="61"/>
      <c r="M385" s="62"/>
      <c r="N385" s="241"/>
      <c r="O385" s="567"/>
      <c r="P385" s="241"/>
      <c r="Q385" s="567"/>
      <c r="R385" s="241"/>
      <c r="S385" s="567"/>
      <c r="T385" s="241"/>
      <c r="U385" s="567"/>
      <c r="V385" s="241"/>
      <c r="W385" s="62"/>
      <c r="X385" s="117"/>
      <c r="Y385" s="173"/>
      <c r="Z385" s="65"/>
    </row>
    <row r="386" ht="14.25" customHeight="1">
      <c r="B386" s="113"/>
      <c r="D386" s="559"/>
      <c r="E386" s="559" t="s">
        <v>1049</v>
      </c>
      <c r="L386" s="61"/>
      <c r="M386" s="62"/>
      <c r="N386" s="241"/>
      <c r="O386" s="567"/>
      <c r="P386" s="241"/>
      <c r="Q386" s="567" t="s">
        <v>403</v>
      </c>
      <c r="R386" s="241"/>
      <c r="S386" s="567"/>
      <c r="T386" s="241"/>
      <c r="U386" s="567"/>
      <c r="V386" s="241"/>
      <c r="W386" s="62"/>
      <c r="X386" s="117"/>
      <c r="Y386" s="173"/>
      <c r="Z386" s="65"/>
    </row>
    <row r="387" ht="14.25" customHeight="1">
      <c r="B387" s="113"/>
      <c r="D387" s="559"/>
      <c r="E387" s="564" t="s">
        <v>1079</v>
      </c>
      <c r="L387" s="61"/>
      <c r="M387" s="62"/>
      <c r="N387" s="241">
        <v>1.0</v>
      </c>
      <c r="O387" s="567">
        <v>1.0</v>
      </c>
      <c r="P387" s="241">
        <v>1.0</v>
      </c>
      <c r="Q387" s="567">
        <v>1.0</v>
      </c>
      <c r="R387" s="241"/>
      <c r="S387" s="567">
        <v>0.9683</v>
      </c>
      <c r="T387" s="241">
        <v>0.9818</v>
      </c>
      <c r="U387" s="567">
        <v>0.9861</v>
      </c>
      <c r="V387" s="241">
        <v>0.9757</v>
      </c>
      <c r="W387" s="62"/>
      <c r="X387" s="117"/>
      <c r="Y387" s="173"/>
      <c r="Z387" s="65"/>
    </row>
    <row r="388" ht="14.25" customHeight="1">
      <c r="B388" s="113"/>
      <c r="D388" s="559"/>
      <c r="E388" s="568"/>
      <c r="L388" s="61"/>
      <c r="M388" s="62"/>
      <c r="N388" s="241"/>
      <c r="O388" s="567"/>
      <c r="P388" s="241"/>
      <c r="Q388" s="567"/>
      <c r="R388" s="241"/>
      <c r="S388" s="567"/>
      <c r="T388" s="241"/>
      <c r="U388" s="567"/>
      <c r="V388" s="241"/>
      <c r="W388" s="62"/>
      <c r="X388" s="117"/>
      <c r="Y388" s="173"/>
      <c r="Z388" s="65"/>
    </row>
    <row r="389" ht="14.25" customHeight="1">
      <c r="B389" s="113"/>
      <c r="D389" s="560" t="s">
        <v>1080</v>
      </c>
      <c r="E389" s="561"/>
      <c r="L389" s="61"/>
      <c r="M389" s="62"/>
      <c r="N389" s="241"/>
      <c r="O389" s="567"/>
      <c r="P389" s="241"/>
      <c r="Q389" s="567"/>
      <c r="R389" s="241"/>
      <c r="S389" s="567"/>
      <c r="T389" s="241"/>
      <c r="U389" s="567"/>
      <c r="V389" s="241"/>
      <c r="W389" s="62"/>
      <c r="X389" s="117"/>
      <c r="Y389" s="173"/>
      <c r="Z389" s="65"/>
    </row>
    <row r="390" ht="14.25" customHeight="1">
      <c r="B390" s="113"/>
      <c r="D390" s="559"/>
      <c r="E390" s="559" t="s">
        <v>1043</v>
      </c>
      <c r="L390" s="61"/>
      <c r="M390" s="62"/>
      <c r="N390" s="63"/>
      <c r="O390" s="62"/>
      <c r="P390" s="63"/>
      <c r="Q390" s="62"/>
      <c r="R390" s="63"/>
      <c r="S390" s="62"/>
      <c r="T390" s="63"/>
      <c r="U390" s="62"/>
      <c r="V390" s="63"/>
      <c r="W390" s="62"/>
      <c r="X390" s="117"/>
      <c r="Y390" s="173"/>
      <c r="Z390" s="65"/>
    </row>
    <row r="391" ht="14.25" customHeight="1">
      <c r="B391" s="113"/>
      <c r="D391" s="559"/>
      <c r="E391" s="564" t="s">
        <v>1081</v>
      </c>
      <c r="L391" s="61"/>
      <c r="M391" s="62"/>
      <c r="N391" s="63">
        <v>55353.0</v>
      </c>
      <c r="O391" s="62">
        <v>55353.0</v>
      </c>
      <c r="P391" s="63">
        <v>55353.0</v>
      </c>
      <c r="Q391" s="62">
        <v>55353.0</v>
      </c>
      <c r="R391" s="63">
        <v>55353.0</v>
      </c>
      <c r="S391" s="62">
        <v>51836.0</v>
      </c>
      <c r="T391" s="63">
        <v>55363.0</v>
      </c>
      <c r="U391" s="62">
        <v>66554.0</v>
      </c>
      <c r="V391" s="63">
        <v>65229.0</v>
      </c>
      <c r="W391" s="62">
        <v>65229.0</v>
      </c>
      <c r="X391" s="117"/>
      <c r="Y391" s="173"/>
      <c r="Z391" s="65"/>
    </row>
    <row r="392" ht="14.25" hidden="1" customHeight="1">
      <c r="B392" s="113"/>
      <c r="D392" s="559"/>
      <c r="E392" s="564" t="s">
        <v>1082</v>
      </c>
      <c r="L392" s="61"/>
      <c r="M392" s="62"/>
      <c r="N392" s="63"/>
      <c r="O392" s="62"/>
      <c r="P392" s="63"/>
      <c r="Q392" s="62"/>
      <c r="R392" s="63"/>
      <c r="S392" s="62"/>
      <c r="T392" s="63"/>
      <c r="U392" s="62"/>
      <c r="V392" s="63"/>
      <c r="W392" s="62"/>
      <c r="X392" s="117"/>
      <c r="Y392" s="173"/>
      <c r="Z392" s="65"/>
    </row>
    <row r="393" ht="14.25" hidden="1" customHeight="1">
      <c r="B393" s="113"/>
      <c r="D393" s="559"/>
      <c r="E393" s="564" t="s">
        <v>1083</v>
      </c>
      <c r="L393" s="61"/>
      <c r="M393" s="62"/>
      <c r="N393" s="63"/>
      <c r="O393" s="62"/>
      <c r="P393" s="63"/>
      <c r="Q393" s="62"/>
      <c r="R393" s="63"/>
      <c r="S393" s="62"/>
      <c r="T393" s="63"/>
      <c r="U393" s="62"/>
      <c r="V393" s="63"/>
      <c r="W393" s="62"/>
      <c r="X393" s="117"/>
      <c r="Y393" s="173"/>
      <c r="Z393" s="65"/>
    </row>
    <row r="394" ht="14.25" customHeight="1">
      <c r="B394" s="113"/>
      <c r="D394" s="559"/>
      <c r="E394" s="568"/>
      <c r="L394" s="61"/>
      <c r="M394" s="62"/>
      <c r="N394" s="63"/>
      <c r="O394" s="62"/>
      <c r="P394" s="63"/>
      <c r="Q394" s="62"/>
      <c r="R394" s="63"/>
      <c r="S394" s="62"/>
      <c r="T394" s="63"/>
      <c r="U394" s="62"/>
      <c r="V394" s="63"/>
      <c r="W394" s="62"/>
      <c r="X394" s="117"/>
      <c r="Y394" s="173"/>
      <c r="Z394" s="65"/>
    </row>
    <row r="395" ht="14.25" customHeight="1">
      <c r="B395" s="113"/>
      <c r="D395" s="560" t="s">
        <v>1084</v>
      </c>
      <c r="E395" s="561"/>
      <c r="L395" s="61"/>
      <c r="M395" s="62"/>
      <c r="N395" s="63"/>
      <c r="O395" s="62"/>
      <c r="P395" s="63"/>
      <c r="Q395" s="62"/>
      <c r="R395" s="63"/>
      <c r="S395" s="62"/>
      <c r="T395" s="63"/>
      <c r="U395" s="62"/>
      <c r="V395" s="63"/>
      <c r="W395" s="62"/>
      <c r="X395" s="117"/>
      <c r="Y395" s="173"/>
      <c r="Z395" s="65"/>
    </row>
    <row r="396" ht="14.25" customHeight="1">
      <c r="B396" s="113"/>
      <c r="D396" s="574"/>
      <c r="E396" s="573" t="s">
        <v>1043</v>
      </c>
      <c r="L396" s="61"/>
      <c r="M396" s="62"/>
      <c r="N396" s="63"/>
      <c r="O396" s="62"/>
      <c r="P396" s="63"/>
      <c r="Q396" s="62"/>
      <c r="R396" s="63"/>
      <c r="S396" s="62"/>
      <c r="T396" s="63"/>
      <c r="U396" s="62"/>
      <c r="V396" s="63"/>
      <c r="W396" s="62"/>
      <c r="X396" s="117"/>
      <c r="Y396" s="173"/>
      <c r="Z396" s="65"/>
    </row>
    <row r="397" ht="14.25" customHeight="1">
      <c r="B397" s="113"/>
      <c r="D397" s="574"/>
      <c r="E397" s="564" t="s">
        <v>1085</v>
      </c>
      <c r="L397" s="61"/>
      <c r="M397" s="62"/>
      <c r="N397" s="63">
        <v>11763.0</v>
      </c>
      <c r="O397" s="62">
        <v>11763.0</v>
      </c>
      <c r="P397" s="63">
        <v>11763.0</v>
      </c>
      <c r="Q397" s="62">
        <v>11763.0</v>
      </c>
      <c r="R397" s="63">
        <v>11763.0</v>
      </c>
      <c r="S397" s="62">
        <v>0.0</v>
      </c>
      <c r="T397" s="63">
        <v>0.0</v>
      </c>
      <c r="U397" s="62">
        <v>0.0</v>
      </c>
      <c r="V397" s="63">
        <v>11763.0</v>
      </c>
      <c r="W397" s="62">
        <v>11763.0</v>
      </c>
      <c r="X397" s="117"/>
      <c r="Y397" s="173"/>
      <c r="Z397" s="65"/>
    </row>
    <row r="398" ht="14.25" customHeight="1">
      <c r="B398" s="113"/>
      <c r="D398" s="574"/>
      <c r="E398" s="565"/>
      <c r="L398" s="61"/>
      <c r="M398" s="62"/>
      <c r="N398" s="63"/>
      <c r="O398" s="62"/>
      <c r="P398" s="63"/>
      <c r="Q398" s="62"/>
      <c r="R398" s="63"/>
      <c r="S398" s="62"/>
      <c r="T398" s="63"/>
      <c r="U398" s="62"/>
      <c r="V398" s="63"/>
      <c r="W398" s="62"/>
      <c r="X398" s="117"/>
      <c r="Y398" s="173"/>
      <c r="Z398" s="65"/>
    </row>
    <row r="399" ht="14.25" customHeight="1">
      <c r="B399" s="113"/>
      <c r="D399" s="574"/>
      <c r="E399" s="573" t="s">
        <v>1046</v>
      </c>
      <c r="L399" s="61"/>
      <c r="M399" s="62"/>
      <c r="N399" s="63"/>
      <c r="O399" s="62"/>
      <c r="P399" s="63"/>
      <c r="Q399" s="62"/>
      <c r="R399" s="63"/>
      <c r="S399" s="62"/>
      <c r="T399" s="63"/>
      <c r="U399" s="62"/>
      <c r="V399" s="63"/>
      <c r="W399" s="62"/>
      <c r="X399" s="117"/>
      <c r="Y399" s="173"/>
      <c r="Z399" s="65"/>
    </row>
    <row r="400" ht="14.25" customHeight="1">
      <c r="B400" s="113"/>
      <c r="D400" s="574"/>
      <c r="E400" s="576" t="s">
        <v>1078</v>
      </c>
      <c r="L400" s="61"/>
      <c r="M400" s="62"/>
      <c r="N400" s="241">
        <v>1.0</v>
      </c>
      <c r="O400" s="567">
        <v>1.0</v>
      </c>
      <c r="P400" s="241">
        <v>1.0</v>
      </c>
      <c r="Q400" s="567">
        <v>1.0</v>
      </c>
      <c r="R400" s="241"/>
      <c r="S400" s="567">
        <v>0.0</v>
      </c>
      <c r="T400" s="241">
        <v>0.0</v>
      </c>
      <c r="U400" s="567">
        <v>0.0</v>
      </c>
      <c r="V400" s="241">
        <v>0.0</v>
      </c>
      <c r="W400" s="62"/>
      <c r="X400" s="117"/>
      <c r="Y400" s="173"/>
      <c r="Z400" s="65"/>
    </row>
    <row r="401" ht="14.25" customHeight="1">
      <c r="B401" s="113"/>
      <c r="D401" s="574"/>
      <c r="E401" s="582"/>
      <c r="L401" s="61"/>
      <c r="M401" s="62"/>
      <c r="N401" s="241"/>
      <c r="O401" s="567"/>
      <c r="P401" s="241"/>
      <c r="Q401" s="567"/>
      <c r="R401" s="241"/>
      <c r="S401" s="567"/>
      <c r="T401" s="241"/>
      <c r="U401" s="567"/>
      <c r="V401" s="241"/>
      <c r="W401" s="62"/>
      <c r="X401" s="117"/>
      <c r="Y401" s="173"/>
      <c r="Z401" s="65"/>
    </row>
    <row r="402" ht="14.25" customHeight="1">
      <c r="B402" s="113"/>
      <c r="D402" s="574"/>
      <c r="E402" s="573" t="s">
        <v>1049</v>
      </c>
      <c r="L402" s="61"/>
      <c r="M402" s="62"/>
      <c r="N402" s="241"/>
      <c r="O402" s="567"/>
      <c r="P402" s="241"/>
      <c r="Q402" s="567"/>
      <c r="R402" s="241"/>
      <c r="S402" s="567"/>
      <c r="T402" s="241"/>
      <c r="U402" s="567"/>
      <c r="V402" s="241"/>
      <c r="W402" s="62"/>
      <c r="X402" s="117"/>
      <c r="Y402" s="173"/>
      <c r="Z402" s="65"/>
    </row>
    <row r="403" ht="14.25" customHeight="1">
      <c r="B403" s="113"/>
      <c r="D403" s="574"/>
      <c r="E403" s="576" t="s">
        <v>1086</v>
      </c>
      <c r="L403" s="61"/>
      <c r="M403" s="62"/>
      <c r="N403" s="241">
        <v>1.0</v>
      </c>
      <c r="O403" s="567">
        <v>1.0</v>
      </c>
      <c r="P403" s="241">
        <v>1.0</v>
      </c>
      <c r="Q403" s="567">
        <v>1.0</v>
      </c>
      <c r="R403" s="241"/>
      <c r="S403" s="567">
        <v>0.0</v>
      </c>
      <c r="T403" s="241">
        <v>0.0</v>
      </c>
      <c r="U403" s="567">
        <v>0.0</v>
      </c>
      <c r="V403" s="241">
        <v>0.0</v>
      </c>
      <c r="W403" s="62"/>
      <c r="X403" s="117"/>
      <c r="Y403" s="173"/>
      <c r="Z403" s="65"/>
    </row>
    <row r="404" ht="14.25" customHeight="1">
      <c r="B404" s="113"/>
      <c r="D404" s="574"/>
      <c r="E404" s="565"/>
      <c r="L404" s="61"/>
      <c r="M404" s="62"/>
      <c r="N404" s="241"/>
      <c r="O404" s="567"/>
      <c r="P404" s="241"/>
      <c r="Q404" s="567"/>
      <c r="R404" s="241"/>
      <c r="S404" s="567"/>
      <c r="T404" s="241"/>
      <c r="U404" s="567"/>
      <c r="V404" s="241"/>
      <c r="W404" s="62"/>
      <c r="X404" s="117"/>
      <c r="Y404" s="173"/>
      <c r="Z404" s="65"/>
    </row>
    <row r="405" ht="14.25" customHeight="1">
      <c r="B405" s="113"/>
      <c r="D405" s="560" t="s">
        <v>1087</v>
      </c>
      <c r="E405" s="561"/>
      <c r="L405" s="61"/>
      <c r="M405" s="62"/>
      <c r="N405" s="63"/>
      <c r="O405" s="62"/>
      <c r="P405" s="63"/>
      <c r="Q405" s="62"/>
      <c r="R405" s="63"/>
      <c r="S405" s="62"/>
      <c r="T405" s="63"/>
      <c r="U405" s="62"/>
      <c r="V405" s="63"/>
      <c r="W405" s="62"/>
      <c r="X405" s="117"/>
      <c r="Y405" s="173"/>
      <c r="Z405" s="65"/>
    </row>
    <row r="406" ht="14.25" customHeight="1">
      <c r="B406" s="113"/>
      <c r="D406" s="574"/>
      <c r="E406" s="573" t="s">
        <v>1043</v>
      </c>
      <c r="L406" s="61"/>
      <c r="M406" s="62"/>
      <c r="N406" s="63"/>
      <c r="O406" s="62"/>
      <c r="P406" s="63"/>
      <c r="Q406" s="62"/>
      <c r="R406" s="63"/>
      <c r="S406" s="62"/>
      <c r="T406" s="63"/>
      <c r="U406" s="62"/>
      <c r="V406" s="63"/>
      <c r="W406" s="62"/>
      <c r="X406" s="117"/>
      <c r="Y406" s="173"/>
      <c r="Z406" s="65"/>
    </row>
    <row r="407" ht="14.25" customHeight="1">
      <c r="B407" s="113"/>
      <c r="D407" s="575"/>
      <c r="E407" s="576" t="s">
        <v>1088</v>
      </c>
      <c r="L407" s="61"/>
      <c r="M407" s="62"/>
      <c r="N407" s="63">
        <v>2000.0</v>
      </c>
      <c r="O407" s="62">
        <v>7000.0</v>
      </c>
      <c r="P407" s="63">
        <v>7000.0</v>
      </c>
      <c r="Q407" s="62">
        <v>7186.0</v>
      </c>
      <c r="R407" s="63">
        <f t="shared" ref="R407:R408" si="5">SUM(N407:Q407)</f>
        <v>23186</v>
      </c>
      <c r="S407" s="62">
        <v>3722.0</v>
      </c>
      <c r="T407" s="63">
        <v>7425.0</v>
      </c>
      <c r="U407" s="62">
        <v>8203.0</v>
      </c>
      <c r="V407" s="63">
        <v>9926.0</v>
      </c>
      <c r="W407" s="62">
        <f t="shared" ref="W407:W408" si="6">SUM(S407:V407)</f>
        <v>29276</v>
      </c>
      <c r="X407" s="117"/>
      <c r="Y407" s="173"/>
      <c r="Z407" s="65"/>
    </row>
    <row r="408" ht="14.25" customHeight="1">
      <c r="B408" s="113"/>
      <c r="D408" s="575"/>
      <c r="E408" s="576" t="s">
        <v>1089</v>
      </c>
      <c r="L408" s="61"/>
      <c r="M408" s="62"/>
      <c r="N408" s="63">
        <v>300.0</v>
      </c>
      <c r="O408" s="62">
        <v>300.0</v>
      </c>
      <c r="P408" s="63">
        <v>320.0</v>
      </c>
      <c r="Q408" s="62">
        <v>300.0</v>
      </c>
      <c r="R408" s="63">
        <f t="shared" si="5"/>
        <v>1220</v>
      </c>
      <c r="S408" s="62">
        <v>508.0</v>
      </c>
      <c r="T408" s="63">
        <v>613.0</v>
      </c>
      <c r="U408" s="62">
        <v>2468.0</v>
      </c>
      <c r="V408" s="63">
        <v>311.0</v>
      </c>
      <c r="W408" s="62">
        <f t="shared" si="6"/>
        <v>3900</v>
      </c>
      <c r="X408" s="117"/>
      <c r="Y408" s="173"/>
      <c r="Z408" s="65"/>
    </row>
    <row r="409" ht="14.25" customHeight="1">
      <c r="B409" s="113"/>
      <c r="D409" s="575"/>
      <c r="E409" s="582"/>
      <c r="L409" s="61"/>
      <c r="M409" s="62"/>
      <c r="N409" s="63"/>
      <c r="O409" s="62"/>
      <c r="P409" s="63"/>
      <c r="Q409" s="62"/>
      <c r="R409" s="63"/>
      <c r="S409" s="62"/>
      <c r="T409" s="63"/>
      <c r="U409" s="62"/>
      <c r="V409" s="63"/>
      <c r="W409" s="62"/>
      <c r="X409" s="117"/>
      <c r="Y409" s="173"/>
      <c r="Z409" s="65"/>
    </row>
    <row r="410" ht="14.25" customHeight="1">
      <c r="B410" s="113"/>
      <c r="D410" s="574"/>
      <c r="E410" s="573" t="s">
        <v>1046</v>
      </c>
      <c r="L410" s="61"/>
      <c r="M410" s="62"/>
      <c r="N410" s="63"/>
      <c r="O410" s="62"/>
      <c r="P410" s="63"/>
      <c r="Q410" s="62"/>
      <c r="R410" s="63"/>
      <c r="S410" s="62"/>
      <c r="T410" s="63"/>
      <c r="U410" s="62"/>
      <c r="V410" s="63"/>
      <c r="W410" s="62"/>
      <c r="X410" s="117"/>
      <c r="Y410" s="173"/>
      <c r="Z410" s="65"/>
    </row>
    <row r="411" ht="14.25" customHeight="1">
      <c r="B411" s="113"/>
      <c r="D411" s="582"/>
      <c r="E411" s="583" t="s">
        <v>1090</v>
      </c>
      <c r="L411" s="61"/>
      <c r="M411" s="62"/>
      <c r="N411" s="241">
        <v>0.0</v>
      </c>
      <c r="O411" s="567">
        <v>0.0</v>
      </c>
      <c r="P411" s="241">
        <v>0.0</v>
      </c>
      <c r="Q411" s="567">
        <v>0.0</v>
      </c>
      <c r="R411" s="241"/>
      <c r="S411" s="567">
        <v>0.0</v>
      </c>
      <c r="T411" s="241">
        <v>0.0</v>
      </c>
      <c r="U411" s="567">
        <v>0.0</v>
      </c>
      <c r="V411" s="241">
        <v>0.0</v>
      </c>
      <c r="W411" s="62"/>
      <c r="X411" s="117"/>
      <c r="Y411" s="173"/>
      <c r="Z411" s="65"/>
    </row>
    <row r="412" ht="14.25" customHeight="1">
      <c r="B412" s="113"/>
      <c r="D412" s="582"/>
      <c r="E412" s="583" t="s">
        <v>1091</v>
      </c>
      <c r="L412" s="61"/>
      <c r="M412" s="62"/>
      <c r="N412" s="241">
        <v>0.0</v>
      </c>
      <c r="O412" s="567">
        <v>0.0</v>
      </c>
      <c r="P412" s="241">
        <v>0.0</v>
      </c>
      <c r="Q412" s="567">
        <v>0.0</v>
      </c>
      <c r="R412" s="241"/>
      <c r="S412" s="567">
        <v>0.0</v>
      </c>
      <c r="T412" s="241">
        <v>0.0</v>
      </c>
      <c r="U412" s="567">
        <v>0.0</v>
      </c>
      <c r="V412" s="241">
        <v>0.0</v>
      </c>
      <c r="W412" s="62"/>
      <c r="X412" s="117"/>
      <c r="Y412" s="173"/>
      <c r="Z412" s="65"/>
    </row>
    <row r="413" ht="14.25" customHeight="1">
      <c r="B413" s="113"/>
      <c r="D413" s="574"/>
      <c r="E413" s="576" t="s">
        <v>1092</v>
      </c>
      <c r="L413" s="61"/>
      <c r="M413" s="62"/>
      <c r="N413" s="241">
        <v>1.0</v>
      </c>
      <c r="O413" s="567">
        <v>1.0</v>
      </c>
      <c r="P413" s="241">
        <v>1.0</v>
      </c>
      <c r="Q413" s="567">
        <v>1.0</v>
      </c>
      <c r="R413" s="241"/>
      <c r="S413" s="567">
        <v>1.0</v>
      </c>
      <c r="T413" s="241">
        <v>1.0</v>
      </c>
      <c r="U413" s="567">
        <v>1.0</v>
      </c>
      <c r="V413" s="241">
        <v>1.0</v>
      </c>
      <c r="W413" s="62"/>
      <c r="X413" s="117"/>
      <c r="Y413" s="173"/>
      <c r="Z413" s="65"/>
    </row>
    <row r="414" ht="14.25" customHeight="1">
      <c r="B414" s="113"/>
      <c r="D414" s="575"/>
      <c r="E414" s="576" t="s">
        <v>1093</v>
      </c>
      <c r="L414" s="61"/>
      <c r="M414" s="62"/>
      <c r="N414" s="241">
        <v>1.0</v>
      </c>
      <c r="O414" s="567">
        <v>1.0</v>
      </c>
      <c r="P414" s="241">
        <v>1.0</v>
      </c>
      <c r="Q414" s="567">
        <v>1.0</v>
      </c>
      <c r="R414" s="241"/>
      <c r="S414" s="567">
        <v>1.0</v>
      </c>
      <c r="T414" s="241">
        <v>1.0</v>
      </c>
      <c r="U414" s="567">
        <v>1.0</v>
      </c>
      <c r="V414" s="241">
        <v>1.0</v>
      </c>
      <c r="W414" s="62"/>
      <c r="X414" s="117"/>
      <c r="Y414" s="173"/>
      <c r="Z414" s="65"/>
    </row>
    <row r="415" ht="14.25" customHeight="1">
      <c r="B415" s="113"/>
      <c r="D415" s="575"/>
      <c r="E415" s="582"/>
      <c r="L415" s="61"/>
      <c r="M415" s="62"/>
      <c r="N415" s="241"/>
      <c r="O415" s="567"/>
      <c r="P415" s="241"/>
      <c r="Q415" s="567"/>
      <c r="R415" s="241"/>
      <c r="S415" s="567"/>
      <c r="T415" s="241"/>
      <c r="U415" s="567"/>
      <c r="V415" s="241"/>
      <c r="W415" s="62"/>
      <c r="X415" s="117"/>
      <c r="Y415" s="173"/>
      <c r="Z415" s="65"/>
    </row>
    <row r="416" ht="14.25" customHeight="1">
      <c r="B416" s="113"/>
      <c r="D416" s="574"/>
      <c r="E416" s="573" t="s">
        <v>1049</v>
      </c>
      <c r="L416" s="61"/>
      <c r="M416" s="62"/>
      <c r="N416" s="241"/>
      <c r="O416" s="567"/>
      <c r="P416" s="241"/>
      <c r="Q416" s="567"/>
      <c r="R416" s="241"/>
      <c r="S416" s="567"/>
      <c r="T416" s="241"/>
      <c r="U416" s="567"/>
      <c r="V416" s="241"/>
      <c r="W416" s="62"/>
      <c r="X416" s="117"/>
      <c r="Y416" s="173"/>
      <c r="Z416" s="65"/>
    </row>
    <row r="417" ht="14.25" customHeight="1">
      <c r="B417" s="113"/>
      <c r="D417" s="582"/>
      <c r="E417" s="583" t="s">
        <v>1094</v>
      </c>
      <c r="L417" s="61"/>
      <c r="M417" s="62"/>
      <c r="N417" s="241">
        <v>1.0</v>
      </c>
      <c r="O417" s="567">
        <v>1.0</v>
      </c>
      <c r="P417" s="241">
        <v>1.0</v>
      </c>
      <c r="Q417" s="567">
        <v>1.0</v>
      </c>
      <c r="R417" s="241"/>
      <c r="S417" s="567">
        <v>1.0</v>
      </c>
      <c r="T417" s="241">
        <v>1.0</v>
      </c>
      <c r="U417" s="567">
        <v>1.0</v>
      </c>
      <c r="V417" s="241">
        <v>1.0</v>
      </c>
      <c r="W417" s="62"/>
      <c r="X417" s="117"/>
      <c r="Y417" s="173"/>
      <c r="Z417" s="65"/>
    </row>
    <row r="418" ht="14.25" customHeight="1">
      <c r="B418" s="113"/>
      <c r="D418" s="574"/>
      <c r="E418" s="573"/>
      <c r="L418" s="61"/>
      <c r="M418" s="62"/>
      <c r="N418" s="241"/>
      <c r="O418" s="567"/>
      <c r="P418" s="241"/>
      <c r="Q418" s="567"/>
      <c r="R418" s="241"/>
      <c r="S418" s="567"/>
      <c r="T418" s="241"/>
      <c r="U418" s="567"/>
      <c r="V418" s="241"/>
      <c r="W418" s="62"/>
      <c r="X418" s="117"/>
      <c r="Y418" s="173"/>
      <c r="Z418" s="65"/>
    </row>
    <row r="419" ht="14.25" customHeight="1">
      <c r="B419" s="113"/>
      <c r="D419" s="560" t="s">
        <v>1095</v>
      </c>
      <c r="E419" s="561"/>
      <c r="L419" s="61"/>
      <c r="M419" s="62"/>
      <c r="N419" s="63"/>
      <c r="O419" s="62"/>
      <c r="P419" s="63"/>
      <c r="Q419" s="62"/>
      <c r="R419" s="63"/>
      <c r="S419" s="62"/>
      <c r="T419" s="63"/>
      <c r="U419" s="62"/>
      <c r="V419" s="63"/>
      <c r="W419" s="62"/>
      <c r="X419" s="117"/>
      <c r="Y419" s="173"/>
      <c r="Z419" s="65"/>
    </row>
    <row r="420" ht="14.25" customHeight="1">
      <c r="B420" s="113"/>
      <c r="D420" s="574"/>
      <c r="E420" s="573" t="s">
        <v>1043</v>
      </c>
      <c r="L420" s="61"/>
      <c r="M420" s="62"/>
      <c r="N420" s="63"/>
      <c r="O420" s="62"/>
      <c r="P420" s="63"/>
      <c r="Q420" s="62"/>
      <c r="R420" s="63"/>
      <c r="S420" s="62"/>
      <c r="T420" s="63"/>
      <c r="U420" s="62"/>
      <c r="V420" s="63"/>
      <c r="W420" s="62"/>
      <c r="X420" s="117"/>
      <c r="Y420" s="173"/>
      <c r="Z420" s="65"/>
    </row>
    <row r="421" ht="14.25" customHeight="1">
      <c r="B421" s="113"/>
      <c r="D421" s="574"/>
      <c r="E421" s="564" t="s">
        <v>1096</v>
      </c>
      <c r="L421" s="61"/>
      <c r="M421" s="62"/>
      <c r="N421" s="63">
        <v>193.0</v>
      </c>
      <c r="O421" s="62">
        <v>193.0</v>
      </c>
      <c r="P421" s="63">
        <v>193.0</v>
      </c>
      <c r="Q421" s="62">
        <v>193.0</v>
      </c>
      <c r="R421" s="63">
        <v>193.0</v>
      </c>
      <c r="S421" s="62">
        <v>0.0</v>
      </c>
      <c r="T421" s="63">
        <v>6.0</v>
      </c>
      <c r="U421" s="62">
        <v>155.0</v>
      </c>
      <c r="V421" s="63">
        <v>177.0</v>
      </c>
      <c r="W421" s="62">
        <v>177.0</v>
      </c>
      <c r="X421" s="117"/>
      <c r="Y421" s="173"/>
      <c r="Z421" s="65"/>
    </row>
    <row r="422" ht="14.25" customHeight="1">
      <c r="B422" s="113"/>
      <c r="D422" s="574"/>
      <c r="E422" s="564" t="s">
        <v>1097</v>
      </c>
      <c r="L422" s="61"/>
      <c r="M422" s="62"/>
      <c r="N422" s="63">
        <v>14.0</v>
      </c>
      <c r="O422" s="62">
        <v>20.0</v>
      </c>
      <c r="P422" s="63">
        <v>35.0</v>
      </c>
      <c r="Q422" s="62">
        <v>35.0</v>
      </c>
      <c r="R422" s="63">
        <v>35.0</v>
      </c>
      <c r="S422" s="62">
        <v>5.0</v>
      </c>
      <c r="T422" s="63">
        <v>12.0</v>
      </c>
      <c r="U422" s="62">
        <v>18.0</v>
      </c>
      <c r="V422" s="63">
        <v>24.0</v>
      </c>
      <c r="W422" s="62">
        <v>24.0</v>
      </c>
      <c r="X422" s="117"/>
      <c r="Y422" s="173"/>
      <c r="Z422" s="65"/>
    </row>
    <row r="423" ht="14.25" customHeight="1">
      <c r="B423" s="113"/>
      <c r="D423" s="574"/>
      <c r="E423" s="564" t="s">
        <v>1192</v>
      </c>
      <c r="L423" s="61"/>
      <c r="M423" s="62"/>
      <c r="N423" s="63">
        <v>153.0</v>
      </c>
      <c r="O423" s="62">
        <v>206.0</v>
      </c>
      <c r="P423" s="63">
        <v>219.0</v>
      </c>
      <c r="Q423" s="62">
        <v>219.0</v>
      </c>
      <c r="R423" s="63">
        <v>219.0</v>
      </c>
      <c r="S423" s="62">
        <v>115.0</v>
      </c>
      <c r="T423" s="63">
        <v>123.0</v>
      </c>
      <c r="U423" s="62">
        <v>129.0</v>
      </c>
      <c r="V423" s="63">
        <v>147.0</v>
      </c>
      <c r="W423" s="62">
        <v>147.0</v>
      </c>
      <c r="X423" s="117"/>
      <c r="Y423" s="173"/>
      <c r="Z423" s="65"/>
    </row>
    <row r="424" ht="14.25" customHeight="1">
      <c r="B424" s="113"/>
      <c r="D424" s="574"/>
      <c r="E424" s="564" t="s">
        <v>1100</v>
      </c>
      <c r="L424" s="61"/>
      <c r="M424" s="62"/>
      <c r="N424" s="63">
        <v>44784.0</v>
      </c>
      <c r="O424" s="62">
        <v>44784.0</v>
      </c>
      <c r="P424" s="63">
        <v>44784.0</v>
      </c>
      <c r="Q424" s="62">
        <v>44784.0</v>
      </c>
      <c r="R424" s="63">
        <v>44784.0</v>
      </c>
      <c r="S424" s="62">
        <v>0.0</v>
      </c>
      <c r="T424" s="63">
        <v>711.0</v>
      </c>
      <c r="U424" s="62">
        <v>36072.0</v>
      </c>
      <c r="V424" s="63">
        <v>42684.0</v>
      </c>
      <c r="W424" s="62">
        <v>42684.0</v>
      </c>
      <c r="X424" s="117"/>
      <c r="Y424" s="173"/>
      <c r="Z424" s="65"/>
    </row>
    <row r="425" ht="14.25" customHeight="1">
      <c r="B425" s="113"/>
      <c r="D425" s="574"/>
      <c r="E425" s="564" t="s">
        <v>1193</v>
      </c>
      <c r="L425" s="61"/>
      <c r="M425" s="62"/>
      <c r="N425" s="63">
        <v>37070.0</v>
      </c>
      <c r="O425" s="62">
        <v>37070.0</v>
      </c>
      <c r="P425" s="63">
        <v>39741.0</v>
      </c>
      <c r="Q425" s="62">
        <v>39741.0</v>
      </c>
      <c r="R425" s="63">
        <v>39741.0</v>
      </c>
      <c r="S425" s="62">
        <v>29376.0</v>
      </c>
      <c r="T425" s="63">
        <v>31587.0</v>
      </c>
      <c r="U425" s="62">
        <v>33394.0</v>
      </c>
      <c r="V425" s="63">
        <v>36014.0</v>
      </c>
      <c r="W425" s="62">
        <v>36014.0</v>
      </c>
      <c r="X425" s="117"/>
      <c r="Y425" s="173"/>
      <c r="Z425" s="65"/>
    </row>
    <row r="426" ht="14.25" customHeight="1">
      <c r="B426" s="113"/>
      <c r="D426" s="574"/>
      <c r="E426" s="565"/>
      <c r="L426" s="61"/>
      <c r="M426" s="62"/>
      <c r="N426" s="63"/>
      <c r="O426" s="62"/>
      <c r="P426" s="63"/>
      <c r="Q426" s="62"/>
      <c r="R426" s="63"/>
      <c r="S426" s="62"/>
      <c r="T426" s="63"/>
      <c r="U426" s="62"/>
      <c r="V426" s="63"/>
      <c r="W426" s="62"/>
      <c r="X426" s="117"/>
      <c r="Y426" s="173"/>
      <c r="Z426" s="65"/>
    </row>
    <row r="427" ht="14.25" customHeight="1">
      <c r="B427" s="113"/>
      <c r="D427" s="574"/>
      <c r="E427" s="573" t="s">
        <v>1049</v>
      </c>
      <c r="L427" s="61"/>
      <c r="M427" s="62"/>
      <c r="N427" s="63"/>
      <c r="O427" s="62"/>
      <c r="P427" s="63"/>
      <c r="Q427" s="62"/>
      <c r="R427" s="63"/>
      <c r="S427" s="62"/>
      <c r="T427" s="63"/>
      <c r="U427" s="62"/>
      <c r="V427" s="63"/>
      <c r="W427" s="62"/>
      <c r="X427" s="117"/>
      <c r="Y427" s="173"/>
      <c r="Z427" s="65"/>
    </row>
    <row r="428" ht="14.25" customHeight="1">
      <c r="B428" s="113"/>
      <c r="D428" s="585"/>
      <c r="E428" s="586" t="s">
        <v>1103</v>
      </c>
      <c r="L428" s="61"/>
      <c r="M428" s="62"/>
      <c r="N428" s="241"/>
      <c r="O428" s="567"/>
      <c r="P428" s="241"/>
      <c r="Q428" s="567"/>
      <c r="R428" s="241"/>
      <c r="S428" s="567">
        <v>0.0</v>
      </c>
      <c r="T428" s="241">
        <v>0.031088082901554404</v>
      </c>
      <c r="U428" s="567">
        <v>0.8031088082901554</v>
      </c>
      <c r="V428" s="241">
        <v>0.917098445595855</v>
      </c>
      <c r="W428" s="62"/>
      <c r="X428" s="117"/>
      <c r="Y428" s="173"/>
      <c r="Z428" s="65"/>
    </row>
    <row r="429" ht="14.25" customHeight="1">
      <c r="B429" s="113"/>
      <c r="D429" s="574"/>
      <c r="E429" s="565"/>
      <c r="L429" s="61"/>
      <c r="M429" s="62"/>
      <c r="N429" s="241"/>
      <c r="O429" s="567"/>
      <c r="P429" s="241"/>
      <c r="Q429" s="567"/>
      <c r="R429" s="241"/>
      <c r="S429" s="567"/>
      <c r="T429" s="241"/>
      <c r="U429" s="567"/>
      <c r="V429" s="241"/>
      <c r="W429" s="62"/>
      <c r="X429" s="117"/>
      <c r="Y429" s="173"/>
      <c r="Z429" s="65"/>
    </row>
    <row r="430" ht="14.25" customHeight="1">
      <c r="B430" s="113"/>
      <c r="L430" s="61"/>
      <c r="M430" s="62"/>
      <c r="N430" s="63"/>
      <c r="O430" s="62"/>
      <c r="P430" s="63"/>
      <c r="Q430" s="62"/>
      <c r="R430" s="63"/>
      <c r="S430" s="62"/>
      <c r="T430" s="63"/>
      <c r="U430" s="62"/>
      <c r="V430" s="63"/>
      <c r="W430" s="62"/>
      <c r="X430" s="117"/>
      <c r="Y430" s="173"/>
      <c r="Z430" s="65"/>
    </row>
    <row r="431" ht="14.25" customHeight="1">
      <c r="B431" s="113"/>
      <c r="L431" s="61"/>
      <c r="M431" s="62"/>
      <c r="N431" s="63"/>
      <c r="O431" s="62"/>
      <c r="P431" s="63"/>
      <c r="Q431" s="62"/>
      <c r="R431" s="63"/>
      <c r="S431" s="62"/>
      <c r="T431" s="63"/>
      <c r="U431" s="62"/>
      <c r="V431" s="63"/>
      <c r="W431" s="62"/>
      <c r="X431" s="117"/>
      <c r="Y431" s="173"/>
      <c r="Z431" s="65"/>
    </row>
    <row r="432" ht="14.25" customHeight="1">
      <c r="B432" s="113"/>
      <c r="D432" s="579" t="s">
        <v>1104</v>
      </c>
      <c r="L432" s="61"/>
      <c r="M432" s="62"/>
      <c r="N432" s="63"/>
      <c r="O432" s="62"/>
      <c r="P432" s="63"/>
      <c r="Q432" s="62"/>
      <c r="R432" s="63"/>
      <c r="S432" s="62"/>
      <c r="T432" s="63"/>
      <c r="U432" s="62"/>
      <c r="V432" s="63"/>
      <c r="W432" s="62"/>
      <c r="X432" s="117"/>
      <c r="Y432" s="173"/>
      <c r="Z432" s="65"/>
    </row>
    <row r="433" ht="14.25" customHeight="1">
      <c r="B433" s="113"/>
      <c r="L433" s="61"/>
      <c r="M433" s="62"/>
      <c r="N433" s="63"/>
      <c r="O433" s="62"/>
      <c r="P433" s="63"/>
      <c r="Q433" s="62"/>
      <c r="R433" s="63"/>
      <c r="S433" s="62"/>
      <c r="T433" s="63"/>
      <c r="U433" s="62"/>
      <c r="V433" s="63"/>
      <c r="W433" s="62"/>
      <c r="X433" s="117"/>
      <c r="Y433" s="173"/>
      <c r="Z433" s="65"/>
    </row>
    <row r="434" ht="14.25" customHeight="1">
      <c r="B434" s="113"/>
      <c r="D434" s="118" t="s">
        <v>1105</v>
      </c>
      <c r="L434" s="61"/>
      <c r="M434" s="62"/>
      <c r="N434" s="63"/>
      <c r="O434" s="62"/>
      <c r="P434" s="63"/>
      <c r="Q434" s="62"/>
      <c r="R434" s="63">
        <v>66.0</v>
      </c>
      <c r="S434" s="62"/>
      <c r="T434" s="63"/>
      <c r="U434" s="62"/>
      <c r="V434" s="63"/>
      <c r="W434" s="62">
        <v>108.0</v>
      </c>
      <c r="X434" s="117"/>
      <c r="Y434" s="173"/>
      <c r="Z434" s="65"/>
    </row>
    <row r="435" ht="14.25" customHeight="1">
      <c r="B435" s="113"/>
      <c r="D435" s="118" t="s">
        <v>471</v>
      </c>
      <c r="L435" s="61"/>
      <c r="M435" s="62"/>
      <c r="N435" s="63"/>
      <c r="O435" s="62"/>
      <c r="P435" s="63"/>
      <c r="Q435" s="62"/>
      <c r="R435" s="63">
        <v>63.0</v>
      </c>
      <c r="S435" s="62"/>
      <c r="T435" s="63"/>
      <c r="U435" s="62"/>
      <c r="V435" s="63"/>
      <c r="W435" s="62">
        <v>91.0</v>
      </c>
      <c r="X435" s="117"/>
      <c r="Y435" s="173"/>
      <c r="Z435" s="65"/>
    </row>
    <row r="436" ht="14.25" customHeight="1">
      <c r="B436" s="113"/>
      <c r="D436" s="118" t="s">
        <v>472</v>
      </c>
      <c r="L436" s="61"/>
      <c r="M436" s="62"/>
      <c r="N436" s="63"/>
      <c r="O436" s="62"/>
      <c r="P436" s="63"/>
      <c r="Q436" s="62"/>
      <c r="R436" s="63">
        <v>50.0</v>
      </c>
      <c r="S436" s="62"/>
      <c r="T436" s="63"/>
      <c r="U436" s="62"/>
      <c r="V436" s="63"/>
      <c r="W436" s="62">
        <v>55.0</v>
      </c>
      <c r="X436" s="117"/>
      <c r="Y436" s="173"/>
      <c r="Z436" s="65"/>
    </row>
    <row r="437" ht="14.25" customHeight="1">
      <c r="B437" s="113"/>
      <c r="D437" s="118" t="s">
        <v>1106</v>
      </c>
      <c r="L437" s="61"/>
      <c r="M437" s="62"/>
      <c r="N437" s="63"/>
      <c r="O437" s="62"/>
      <c r="P437" s="63"/>
      <c r="Q437" s="62"/>
      <c r="R437" s="63">
        <v>60.0</v>
      </c>
      <c r="S437" s="62"/>
      <c r="T437" s="63"/>
      <c r="U437" s="62"/>
      <c r="V437" s="63"/>
      <c r="W437" s="62">
        <v>59.0</v>
      </c>
      <c r="X437" s="117"/>
      <c r="Y437" s="173"/>
      <c r="Z437" s="65"/>
    </row>
    <row r="438" ht="14.25" customHeight="1">
      <c r="B438" s="113"/>
      <c r="L438" s="61"/>
      <c r="M438" s="62"/>
      <c r="N438" s="63"/>
      <c r="O438" s="62"/>
      <c r="P438" s="63"/>
      <c r="Q438" s="62"/>
      <c r="R438" s="63"/>
      <c r="S438" s="62"/>
      <c r="T438" s="63"/>
      <c r="U438" s="62"/>
      <c r="V438" s="63"/>
      <c r="W438" s="62"/>
      <c r="X438" s="117"/>
      <c r="Y438" s="173"/>
      <c r="Z438" s="65"/>
    </row>
    <row r="439" ht="14.25" customHeight="1">
      <c r="B439" s="60" t="s">
        <v>1107</v>
      </c>
      <c r="L439" s="61"/>
      <c r="M439" s="62"/>
      <c r="N439" s="63"/>
      <c r="O439" s="62"/>
      <c r="P439" s="63"/>
      <c r="Q439" s="62"/>
      <c r="R439" s="63"/>
      <c r="S439" s="62"/>
      <c r="T439" s="63"/>
      <c r="U439" s="62"/>
      <c r="V439" s="63"/>
      <c r="W439" s="62"/>
      <c r="X439" s="117"/>
      <c r="Y439" s="173"/>
      <c r="Z439" s="65"/>
    </row>
    <row r="440" ht="14.25" customHeight="1">
      <c r="B440" s="113"/>
      <c r="L440" s="61"/>
      <c r="M440" s="62"/>
      <c r="N440" s="63"/>
      <c r="O440" s="62"/>
      <c r="P440" s="63"/>
      <c r="Q440" s="62"/>
      <c r="R440" s="63"/>
      <c r="S440" s="62"/>
      <c r="T440" s="63"/>
      <c r="U440" s="62"/>
      <c r="V440" s="63"/>
      <c r="W440" s="62"/>
      <c r="X440" s="117"/>
      <c r="Y440" s="173"/>
      <c r="Z440" s="65"/>
    </row>
    <row r="441" ht="14.25" customHeight="1">
      <c r="B441" s="113"/>
      <c r="D441" s="588" t="s">
        <v>1108</v>
      </c>
      <c r="E441" s="589"/>
      <c r="L441" s="61"/>
      <c r="M441" s="62"/>
      <c r="N441" s="63"/>
      <c r="O441" s="62"/>
      <c r="P441" s="63"/>
      <c r="Q441" s="62"/>
      <c r="R441" s="63"/>
      <c r="S441" s="62"/>
      <c r="T441" s="63"/>
      <c r="U441" s="62"/>
      <c r="V441" s="63"/>
      <c r="W441" s="62"/>
      <c r="X441" s="117"/>
      <c r="Y441" s="173"/>
      <c r="Z441" s="65"/>
    </row>
    <row r="442" ht="14.25" customHeight="1">
      <c r="B442" s="113"/>
      <c r="D442" s="91" t="s">
        <v>1043</v>
      </c>
      <c r="E442" s="70" t="s">
        <v>1109</v>
      </c>
      <c r="L442" s="61"/>
      <c r="M442" s="62"/>
      <c r="N442" s="63"/>
      <c r="O442" s="62"/>
      <c r="P442" s="63"/>
      <c r="Q442" s="62"/>
      <c r="R442" s="63"/>
      <c r="S442" s="62"/>
      <c r="T442" s="63"/>
      <c r="U442" s="62"/>
      <c r="V442" s="63"/>
      <c r="W442" s="62"/>
      <c r="X442" s="117"/>
      <c r="Y442" s="173"/>
      <c r="Z442" s="65"/>
    </row>
    <row r="443" ht="14.25" customHeight="1">
      <c r="B443" s="113"/>
      <c r="D443" s="70"/>
      <c r="E443" s="91" t="s">
        <v>1110</v>
      </c>
      <c r="L443" s="61"/>
      <c r="M443" s="62"/>
      <c r="N443" s="63"/>
      <c r="O443" s="62"/>
      <c r="P443" s="63"/>
      <c r="Q443" s="62"/>
      <c r="R443" s="63"/>
      <c r="S443" s="62"/>
      <c r="T443" s="63"/>
      <c r="U443" s="62"/>
      <c r="V443" s="63"/>
      <c r="W443" s="62"/>
      <c r="X443" s="117"/>
      <c r="Y443" s="173"/>
      <c r="Z443" s="65"/>
    </row>
    <row r="444" ht="14.25" customHeight="1">
      <c r="B444" s="113"/>
      <c r="D444" s="70"/>
      <c r="E444" s="70" t="s">
        <v>1111</v>
      </c>
      <c r="L444" s="61"/>
      <c r="M444" s="62"/>
      <c r="N444" s="63">
        <v>216.0</v>
      </c>
      <c r="O444" s="62">
        <v>420.0</v>
      </c>
      <c r="P444" s="63">
        <v>325.0</v>
      </c>
      <c r="Q444" s="62">
        <v>600.0</v>
      </c>
      <c r="R444" s="63">
        <f t="shared" ref="R444:R448" si="7">SUM(N444:Q444)</f>
        <v>1561</v>
      </c>
      <c r="S444" s="62">
        <v>221.0</v>
      </c>
      <c r="T444" s="63">
        <v>426.0</v>
      </c>
      <c r="U444" s="62">
        <v>325.0</v>
      </c>
      <c r="V444" s="63">
        <v>614.0</v>
      </c>
      <c r="W444" s="62">
        <f t="shared" ref="W444:W448" si="8">SUM(S444:V444)</f>
        <v>1586</v>
      </c>
      <c r="X444" s="117"/>
      <c r="Y444" s="173"/>
      <c r="Z444" s="65"/>
    </row>
    <row r="445" ht="14.25" customHeight="1">
      <c r="B445" s="113"/>
      <c r="D445" s="70"/>
      <c r="E445" s="70" t="s">
        <v>1112</v>
      </c>
      <c r="L445" s="61"/>
      <c r="M445" s="62"/>
      <c r="N445" s="63">
        <v>83.0</v>
      </c>
      <c r="O445" s="62">
        <v>135.0</v>
      </c>
      <c r="P445" s="63">
        <v>10.0</v>
      </c>
      <c r="Q445" s="62">
        <v>15.0</v>
      </c>
      <c r="R445" s="63">
        <f t="shared" si="7"/>
        <v>243</v>
      </c>
      <c r="S445" s="62">
        <v>85.0</v>
      </c>
      <c r="T445" s="63">
        <v>137.0</v>
      </c>
      <c r="U445" s="62">
        <v>10.0</v>
      </c>
      <c r="V445" s="63">
        <v>26.0</v>
      </c>
      <c r="W445" s="62">
        <f t="shared" si="8"/>
        <v>258</v>
      </c>
      <c r="X445" s="117"/>
      <c r="Y445" s="173"/>
      <c r="Z445" s="65"/>
    </row>
    <row r="446" ht="14.25" customHeight="1">
      <c r="B446" s="113"/>
      <c r="D446" s="70"/>
      <c r="E446" s="70" t="s">
        <v>1113</v>
      </c>
      <c r="L446" s="61"/>
      <c r="M446" s="62"/>
      <c r="N446" s="63">
        <v>7.0</v>
      </c>
      <c r="O446" s="62">
        <v>45.0</v>
      </c>
      <c r="P446" s="63">
        <v>63.0</v>
      </c>
      <c r="Q446" s="62">
        <v>143.0</v>
      </c>
      <c r="R446" s="63">
        <f t="shared" si="7"/>
        <v>258</v>
      </c>
      <c r="S446" s="62">
        <v>7.0</v>
      </c>
      <c r="T446" s="63">
        <v>46.0</v>
      </c>
      <c r="U446" s="62">
        <v>65.0</v>
      </c>
      <c r="V446" s="63">
        <v>145.0</v>
      </c>
      <c r="W446" s="62">
        <f t="shared" si="8"/>
        <v>263</v>
      </c>
      <c r="X446" s="117"/>
      <c r="Y446" s="173"/>
      <c r="Z446" s="65"/>
    </row>
    <row r="447" ht="14.25" customHeight="1">
      <c r="B447" s="113"/>
      <c r="D447" s="70"/>
      <c r="E447" s="70" t="s">
        <v>1114</v>
      </c>
      <c r="L447" s="61"/>
      <c r="M447" s="62"/>
      <c r="N447" s="63">
        <v>80.0</v>
      </c>
      <c r="O447" s="62">
        <v>5.0</v>
      </c>
      <c r="P447" s="63">
        <v>16.0</v>
      </c>
      <c r="Q447" s="62">
        <v>70.0</v>
      </c>
      <c r="R447" s="63">
        <f t="shared" si="7"/>
        <v>171</v>
      </c>
      <c r="S447" s="62">
        <v>72.0</v>
      </c>
      <c r="T447" s="63">
        <v>8.0</v>
      </c>
      <c r="U447" s="62">
        <v>16.0</v>
      </c>
      <c r="V447" s="63">
        <v>70.0</v>
      </c>
      <c r="W447" s="62">
        <f t="shared" si="8"/>
        <v>166</v>
      </c>
      <c r="X447" s="117"/>
      <c r="Y447" s="173"/>
      <c r="Z447" s="65"/>
    </row>
    <row r="448" ht="14.25" customHeight="1">
      <c r="B448" s="113"/>
      <c r="D448" s="70"/>
      <c r="E448" s="70" t="s">
        <v>1115</v>
      </c>
      <c r="L448" s="61"/>
      <c r="M448" s="62"/>
      <c r="N448" s="63">
        <v>48.0</v>
      </c>
      <c r="O448" s="62">
        <v>50.0</v>
      </c>
      <c r="P448" s="63">
        <v>230.0</v>
      </c>
      <c r="Q448" s="62">
        <v>713.0</v>
      </c>
      <c r="R448" s="63">
        <f t="shared" si="7"/>
        <v>1041</v>
      </c>
      <c r="S448" s="62">
        <v>48.0</v>
      </c>
      <c r="T448" s="63">
        <v>50.0</v>
      </c>
      <c r="U448" s="62">
        <v>230.0</v>
      </c>
      <c r="V448" s="63">
        <v>713.0</v>
      </c>
      <c r="W448" s="62">
        <f t="shared" si="8"/>
        <v>1041</v>
      </c>
      <c r="X448" s="117"/>
      <c r="Y448" s="173"/>
      <c r="Z448" s="65"/>
    </row>
    <row r="449" ht="14.25" customHeight="1">
      <c r="B449" s="113"/>
      <c r="D449" s="70"/>
      <c r="E449" s="70"/>
      <c r="L449" s="61"/>
      <c r="M449" s="62"/>
      <c r="N449" s="63"/>
      <c r="O449" s="62"/>
      <c r="P449" s="63"/>
      <c r="Q449" s="62"/>
      <c r="R449" s="63"/>
      <c r="S449" s="62"/>
      <c r="T449" s="63"/>
      <c r="U449" s="62"/>
      <c r="V449" s="63"/>
      <c r="W449" s="62"/>
      <c r="X449" s="117"/>
      <c r="Y449" s="173"/>
      <c r="Z449" s="65"/>
    </row>
    <row r="450" ht="14.25" customHeight="1">
      <c r="B450" s="113"/>
      <c r="D450" s="185" t="s">
        <v>1046</v>
      </c>
      <c r="E450" s="97" t="s">
        <v>1116</v>
      </c>
      <c r="L450" s="61"/>
      <c r="M450" s="62"/>
      <c r="N450" s="63"/>
      <c r="O450" s="62"/>
      <c r="P450" s="63"/>
      <c r="Q450" s="62"/>
      <c r="R450" s="63"/>
      <c r="S450" s="62"/>
      <c r="T450" s="63"/>
      <c r="U450" s="62"/>
      <c r="V450" s="63"/>
      <c r="W450" s="62"/>
      <c r="X450" s="117"/>
      <c r="Y450" s="173"/>
      <c r="Z450" s="65"/>
    </row>
    <row r="451" ht="14.25" customHeight="1">
      <c r="B451" s="113"/>
      <c r="D451" s="70"/>
      <c r="E451" s="70" t="s">
        <v>1111</v>
      </c>
      <c r="L451" s="61"/>
      <c r="M451" s="62"/>
      <c r="N451" s="241">
        <v>1.0</v>
      </c>
      <c r="O451" s="567">
        <v>1.0</v>
      </c>
      <c r="P451" s="241">
        <v>1.0</v>
      </c>
      <c r="Q451" s="567">
        <v>1.0</v>
      </c>
      <c r="R451" s="241"/>
      <c r="S451" s="567">
        <v>1.0</v>
      </c>
      <c r="T451" s="241">
        <v>1.0</v>
      </c>
      <c r="U451" s="567">
        <v>1.0</v>
      </c>
      <c r="V451" s="241">
        <v>1.0</v>
      </c>
      <c r="W451" s="62"/>
      <c r="X451" s="117"/>
      <c r="Y451" s="173"/>
      <c r="Z451" s="65"/>
    </row>
    <row r="452" ht="14.25" customHeight="1">
      <c r="B452" s="113"/>
      <c r="D452" s="70"/>
      <c r="E452" s="70" t="s">
        <v>1112</v>
      </c>
      <c r="L452" s="61"/>
      <c r="M452" s="62"/>
      <c r="N452" s="241">
        <v>1.0</v>
      </c>
      <c r="O452" s="567">
        <v>1.0</v>
      </c>
      <c r="P452" s="241">
        <v>1.0</v>
      </c>
      <c r="Q452" s="567">
        <v>1.0</v>
      </c>
      <c r="R452" s="241"/>
      <c r="S452" s="567">
        <v>1.0</v>
      </c>
      <c r="T452" s="241">
        <v>1.0</v>
      </c>
      <c r="U452" s="567">
        <v>1.0</v>
      </c>
      <c r="V452" s="241">
        <v>1.0</v>
      </c>
      <c r="W452" s="62"/>
      <c r="X452" s="117"/>
      <c r="Y452" s="173"/>
      <c r="Z452" s="65"/>
    </row>
    <row r="453" ht="14.25" customHeight="1">
      <c r="B453" s="113"/>
      <c r="D453" s="70"/>
      <c r="E453" s="70" t="s">
        <v>1113</v>
      </c>
      <c r="L453" s="61"/>
      <c r="M453" s="62"/>
      <c r="N453" s="241">
        <v>1.0</v>
      </c>
      <c r="O453" s="567">
        <v>1.0</v>
      </c>
      <c r="P453" s="241">
        <v>1.0</v>
      </c>
      <c r="Q453" s="567">
        <v>1.0</v>
      </c>
      <c r="R453" s="241"/>
      <c r="S453" s="567">
        <v>1.0</v>
      </c>
      <c r="T453" s="241">
        <v>1.0</v>
      </c>
      <c r="U453" s="567">
        <v>1.0</v>
      </c>
      <c r="V453" s="241">
        <v>1.0</v>
      </c>
      <c r="W453" s="62"/>
      <c r="X453" s="117"/>
      <c r="Y453" s="173"/>
      <c r="Z453" s="65"/>
    </row>
    <row r="454" ht="14.25" customHeight="1">
      <c r="B454" s="113"/>
      <c r="D454" s="70"/>
      <c r="E454" s="70" t="s">
        <v>1114</v>
      </c>
      <c r="L454" s="61"/>
      <c r="M454" s="62"/>
      <c r="N454" s="241">
        <v>1.0</v>
      </c>
      <c r="O454" s="567">
        <v>1.0</v>
      </c>
      <c r="P454" s="241">
        <v>1.0</v>
      </c>
      <c r="Q454" s="567">
        <v>1.0</v>
      </c>
      <c r="R454" s="241"/>
      <c r="S454" s="567">
        <v>1.0</v>
      </c>
      <c r="T454" s="241">
        <v>1.0</v>
      </c>
      <c r="U454" s="567">
        <v>1.0</v>
      </c>
      <c r="V454" s="241">
        <v>1.0</v>
      </c>
      <c r="W454" s="62"/>
      <c r="X454" s="117"/>
      <c r="Y454" s="173"/>
      <c r="Z454" s="65"/>
    </row>
    <row r="455" ht="14.25" customHeight="1">
      <c r="B455" s="113"/>
      <c r="D455" s="70"/>
      <c r="E455" s="70" t="s">
        <v>1115</v>
      </c>
      <c r="L455" s="61"/>
      <c r="M455" s="62"/>
      <c r="N455" s="241">
        <v>1.0</v>
      </c>
      <c r="O455" s="567">
        <v>1.0</v>
      </c>
      <c r="P455" s="241">
        <v>1.0</v>
      </c>
      <c r="Q455" s="567">
        <v>1.0</v>
      </c>
      <c r="R455" s="241"/>
      <c r="S455" s="567">
        <v>1.0</v>
      </c>
      <c r="T455" s="241">
        <v>1.0</v>
      </c>
      <c r="U455" s="567">
        <v>1.0</v>
      </c>
      <c r="V455" s="241">
        <v>1.0</v>
      </c>
      <c r="W455" s="62"/>
      <c r="X455" s="117"/>
      <c r="Y455" s="173"/>
      <c r="Z455" s="65"/>
    </row>
    <row r="456" ht="14.25" customHeight="1">
      <c r="B456" s="113"/>
      <c r="D456" s="77"/>
      <c r="E456" s="70"/>
      <c r="L456" s="61"/>
      <c r="M456" s="62"/>
      <c r="N456" s="241"/>
      <c r="O456" s="567"/>
      <c r="P456" s="241"/>
      <c r="Q456" s="567"/>
      <c r="R456" s="241"/>
      <c r="S456" s="567"/>
      <c r="T456" s="241"/>
      <c r="U456" s="567"/>
      <c r="V456" s="241"/>
      <c r="W456" s="62"/>
      <c r="X456" s="117"/>
      <c r="Y456" s="173"/>
      <c r="Z456" s="65"/>
    </row>
    <row r="457" ht="14.25" customHeight="1">
      <c r="B457" s="113"/>
      <c r="D457" s="231" t="s">
        <v>1049</v>
      </c>
      <c r="E457" s="97" t="s">
        <v>1117</v>
      </c>
      <c r="L457" s="61"/>
      <c r="M457" s="62"/>
      <c r="N457" s="241"/>
      <c r="O457" s="567"/>
      <c r="P457" s="241"/>
      <c r="Q457" s="567"/>
      <c r="R457" s="241"/>
      <c r="S457" s="567"/>
      <c r="T457" s="241"/>
      <c r="U457" s="567"/>
      <c r="V457" s="241"/>
      <c r="W457" s="62"/>
      <c r="X457" s="117"/>
      <c r="Y457" s="173"/>
      <c r="Z457" s="65"/>
    </row>
    <row r="458" ht="14.25" customHeight="1">
      <c r="B458" s="113"/>
      <c r="D458" s="70"/>
      <c r="E458" s="70" t="s">
        <v>1111</v>
      </c>
      <c r="L458" s="61"/>
      <c r="M458" s="62"/>
      <c r="N458" s="241">
        <v>1.0</v>
      </c>
      <c r="O458" s="567">
        <v>1.0</v>
      </c>
      <c r="P458" s="241">
        <v>1.0</v>
      </c>
      <c r="Q458" s="567">
        <v>1.0</v>
      </c>
      <c r="R458" s="241"/>
      <c r="S458" s="567">
        <v>1.0</v>
      </c>
      <c r="T458" s="241">
        <v>1.0</v>
      </c>
      <c r="U458" s="567">
        <v>1.0</v>
      </c>
      <c r="V458" s="241">
        <v>1.0</v>
      </c>
      <c r="W458" s="62"/>
      <c r="X458" s="117"/>
      <c r="Y458" s="173"/>
      <c r="Z458" s="65"/>
    </row>
    <row r="459" ht="14.25" customHeight="1">
      <c r="B459" s="113"/>
      <c r="D459" s="70"/>
      <c r="E459" s="70" t="s">
        <v>1112</v>
      </c>
      <c r="L459" s="61"/>
      <c r="M459" s="62"/>
      <c r="N459" s="241">
        <v>1.0</v>
      </c>
      <c r="O459" s="567">
        <v>1.0</v>
      </c>
      <c r="P459" s="241">
        <v>1.0</v>
      </c>
      <c r="Q459" s="567">
        <v>1.0</v>
      </c>
      <c r="R459" s="241"/>
      <c r="S459" s="567">
        <v>1.0</v>
      </c>
      <c r="T459" s="241">
        <v>1.0</v>
      </c>
      <c r="U459" s="567">
        <v>1.0</v>
      </c>
      <c r="V459" s="241">
        <v>1.0</v>
      </c>
      <c r="W459" s="62"/>
      <c r="X459" s="117"/>
      <c r="Y459" s="173"/>
      <c r="Z459" s="65"/>
    </row>
    <row r="460" ht="14.25" customHeight="1">
      <c r="B460" s="113"/>
      <c r="D460" s="70"/>
      <c r="E460" s="70" t="s">
        <v>1113</v>
      </c>
      <c r="L460" s="61"/>
      <c r="M460" s="62"/>
      <c r="N460" s="241">
        <v>1.0</v>
      </c>
      <c r="O460" s="567">
        <v>1.0</v>
      </c>
      <c r="P460" s="241">
        <v>1.0</v>
      </c>
      <c r="Q460" s="567">
        <v>1.0</v>
      </c>
      <c r="R460" s="241"/>
      <c r="S460" s="567">
        <v>1.0</v>
      </c>
      <c r="T460" s="241">
        <v>1.0</v>
      </c>
      <c r="U460" s="567">
        <v>1.0</v>
      </c>
      <c r="V460" s="241">
        <v>1.0</v>
      </c>
      <c r="W460" s="62"/>
      <c r="X460" s="117"/>
      <c r="Y460" s="173"/>
      <c r="Z460" s="65"/>
    </row>
    <row r="461" ht="14.25" customHeight="1">
      <c r="B461" s="113"/>
      <c r="D461" s="70"/>
      <c r="E461" s="70" t="s">
        <v>1114</v>
      </c>
      <c r="L461" s="61"/>
      <c r="M461" s="62"/>
      <c r="N461" s="241">
        <v>1.0</v>
      </c>
      <c r="O461" s="567">
        <v>1.0</v>
      </c>
      <c r="P461" s="241">
        <v>1.0</v>
      </c>
      <c r="Q461" s="567">
        <v>1.0</v>
      </c>
      <c r="R461" s="241"/>
      <c r="S461" s="567">
        <v>1.0</v>
      </c>
      <c r="T461" s="241">
        <v>1.0</v>
      </c>
      <c r="U461" s="567">
        <v>1.0</v>
      </c>
      <c r="V461" s="241">
        <v>1.0</v>
      </c>
      <c r="W461" s="62"/>
      <c r="X461" s="117"/>
      <c r="Y461" s="173"/>
      <c r="Z461" s="65"/>
    </row>
    <row r="462" ht="14.25" customHeight="1">
      <c r="B462" s="113"/>
      <c r="D462" s="70"/>
      <c r="E462" s="70" t="s">
        <v>1115</v>
      </c>
      <c r="L462" s="61"/>
      <c r="M462" s="62"/>
      <c r="N462" s="241">
        <v>1.0</v>
      </c>
      <c r="O462" s="567">
        <v>1.0</v>
      </c>
      <c r="P462" s="241">
        <v>1.0</v>
      </c>
      <c r="Q462" s="567">
        <v>1.0</v>
      </c>
      <c r="R462" s="241"/>
      <c r="S462" s="567">
        <v>1.0</v>
      </c>
      <c r="T462" s="241">
        <v>1.0</v>
      </c>
      <c r="U462" s="567">
        <v>1.0</v>
      </c>
      <c r="V462" s="241">
        <v>1.0</v>
      </c>
      <c r="W462" s="62"/>
      <c r="X462" s="117"/>
      <c r="Y462" s="173"/>
      <c r="Z462" s="65"/>
    </row>
    <row r="463" ht="14.25" customHeight="1">
      <c r="B463" s="113"/>
      <c r="D463" s="183"/>
      <c r="E463" s="70"/>
      <c r="L463" s="61"/>
      <c r="M463" s="62"/>
      <c r="N463" s="63"/>
      <c r="O463" s="62"/>
      <c r="P463" s="63"/>
      <c r="Q463" s="62"/>
      <c r="R463" s="63"/>
      <c r="S463" s="62"/>
      <c r="T463" s="63"/>
      <c r="U463" s="62"/>
      <c r="V463" s="63"/>
      <c r="W463" s="62"/>
      <c r="X463" s="117"/>
      <c r="Y463" s="173"/>
      <c r="Z463" s="65"/>
    </row>
    <row r="464" ht="14.25" customHeight="1">
      <c r="B464" s="113"/>
      <c r="D464" s="588" t="s">
        <v>1118</v>
      </c>
      <c r="E464" s="589"/>
      <c r="L464" s="61"/>
      <c r="M464" s="62"/>
      <c r="N464" s="63"/>
      <c r="O464" s="62"/>
      <c r="P464" s="63"/>
      <c r="Q464" s="62"/>
      <c r="R464" s="63"/>
      <c r="S464" s="62"/>
      <c r="T464" s="63"/>
      <c r="U464" s="62"/>
      <c r="V464" s="63"/>
      <c r="W464" s="62"/>
      <c r="X464" s="117"/>
      <c r="Y464" s="173"/>
      <c r="Z464" s="65"/>
    </row>
    <row r="465" ht="14.25" customHeight="1">
      <c r="B465" s="113"/>
      <c r="D465" s="200" t="s">
        <v>1043</v>
      </c>
      <c r="E465" s="70" t="s">
        <v>1119</v>
      </c>
      <c r="L465" s="61"/>
      <c r="M465" s="62"/>
      <c r="N465" s="63"/>
      <c r="O465" s="62"/>
      <c r="P465" s="63"/>
      <c r="Q465" s="62"/>
      <c r="R465" s="63"/>
      <c r="S465" s="62"/>
      <c r="T465" s="63"/>
      <c r="U465" s="62"/>
      <c r="V465" s="63"/>
      <c r="W465" s="62"/>
      <c r="X465" s="117"/>
      <c r="Y465" s="173"/>
      <c r="Z465" s="65"/>
    </row>
    <row r="466" ht="14.25" customHeight="1">
      <c r="B466" s="113"/>
      <c r="D466" s="183"/>
      <c r="E466" s="70"/>
      <c r="L466" s="61"/>
      <c r="M466" s="62"/>
      <c r="N466" s="63"/>
      <c r="O466" s="62"/>
      <c r="P466" s="63"/>
      <c r="Q466" s="62"/>
      <c r="R466" s="63"/>
      <c r="S466" s="62"/>
      <c r="T466" s="63"/>
      <c r="U466" s="62"/>
      <c r="V466" s="63"/>
      <c r="W466" s="62"/>
      <c r="X466" s="117"/>
      <c r="Y466" s="173"/>
      <c r="Z466" s="65"/>
    </row>
    <row r="467" ht="14.25" customHeight="1">
      <c r="B467" s="113"/>
      <c r="D467" s="183"/>
      <c r="E467" s="91" t="s">
        <v>1111</v>
      </c>
      <c r="L467" s="61"/>
      <c r="M467" s="62"/>
      <c r="N467" s="63"/>
      <c r="O467" s="62"/>
      <c r="P467" s="63">
        <v>33.0</v>
      </c>
      <c r="Q467" s="62"/>
      <c r="R467" s="63">
        <f>SUM(N467:Q467)</f>
        <v>33</v>
      </c>
      <c r="S467" s="62"/>
      <c r="T467" s="63"/>
      <c r="U467" s="62">
        <v>38.0</v>
      </c>
      <c r="V467" s="63"/>
      <c r="W467" s="62">
        <f>SUM(S467:V467)</f>
        <v>38</v>
      </c>
      <c r="X467" s="117"/>
      <c r="Y467" s="173"/>
      <c r="Z467" s="65"/>
    </row>
    <row r="468" ht="14.25" customHeight="1">
      <c r="B468" s="113"/>
      <c r="D468" s="183"/>
      <c r="E468" s="70" t="s">
        <v>1112</v>
      </c>
      <c r="L468" s="61"/>
      <c r="M468" s="62"/>
      <c r="N468" s="63"/>
      <c r="O468" s="62"/>
      <c r="P468" s="63"/>
      <c r="Q468" s="62"/>
      <c r="R468" s="63"/>
      <c r="S468" s="62"/>
      <c r="T468" s="63"/>
      <c r="U468" s="62"/>
      <c r="V468" s="63"/>
      <c r="W468" s="62"/>
      <c r="X468" s="117"/>
      <c r="Y468" s="173"/>
      <c r="Z468" s="65"/>
    </row>
    <row r="469" ht="14.25" customHeight="1">
      <c r="B469" s="113"/>
      <c r="D469" s="183"/>
      <c r="E469" s="70" t="s">
        <v>1113</v>
      </c>
      <c r="L469" s="61"/>
      <c r="M469" s="62"/>
      <c r="N469" s="63"/>
      <c r="O469" s="62"/>
      <c r="P469" s="63"/>
      <c r="Q469" s="62"/>
      <c r="R469" s="63"/>
      <c r="S469" s="62"/>
      <c r="T469" s="63"/>
      <c r="U469" s="62"/>
      <c r="V469" s="63"/>
      <c r="W469" s="62"/>
      <c r="X469" s="117"/>
      <c r="Y469" s="173"/>
      <c r="Z469" s="65"/>
    </row>
    <row r="470" ht="14.25" customHeight="1">
      <c r="B470" s="113"/>
      <c r="D470" s="183"/>
      <c r="E470" s="70"/>
      <c r="L470" s="61"/>
      <c r="M470" s="62"/>
      <c r="N470" s="63"/>
      <c r="O470" s="62"/>
      <c r="P470" s="63"/>
      <c r="Q470" s="62"/>
      <c r="R470" s="63"/>
      <c r="S470" s="62"/>
      <c r="T470" s="63"/>
      <c r="U470" s="62"/>
      <c r="V470" s="63"/>
      <c r="W470" s="62"/>
      <c r="X470" s="117"/>
      <c r="Y470" s="173"/>
      <c r="Z470" s="65"/>
    </row>
    <row r="471" ht="14.25" customHeight="1">
      <c r="B471" s="113"/>
      <c r="D471" s="185" t="s">
        <v>1046</v>
      </c>
      <c r="E471" s="70" t="s">
        <v>1120</v>
      </c>
      <c r="L471" s="61"/>
      <c r="M471" s="62"/>
      <c r="N471" s="63"/>
      <c r="O471" s="62"/>
      <c r="P471" s="63"/>
      <c r="Q471" s="62"/>
      <c r="R471" s="63"/>
      <c r="S471" s="62"/>
      <c r="T471" s="63"/>
      <c r="U471" s="62"/>
      <c r="V471" s="63"/>
      <c r="W471" s="62"/>
      <c r="X471" s="117"/>
      <c r="Y471" s="173"/>
      <c r="Z471" s="65"/>
    </row>
    <row r="472" ht="14.25" customHeight="1">
      <c r="B472" s="113"/>
      <c r="D472" s="183"/>
      <c r="E472" s="70" t="s">
        <v>1111</v>
      </c>
      <c r="L472" s="61"/>
      <c r="M472" s="62"/>
      <c r="N472" s="63"/>
      <c r="O472" s="62"/>
      <c r="P472" s="63"/>
      <c r="Q472" s="62"/>
      <c r="R472" s="63"/>
      <c r="S472" s="62"/>
      <c r="T472" s="63"/>
      <c r="U472" s="567">
        <v>1.0</v>
      </c>
      <c r="V472" s="63"/>
      <c r="W472" s="62"/>
      <c r="X472" s="117"/>
      <c r="Y472" s="173"/>
      <c r="Z472" s="65"/>
    </row>
    <row r="473" ht="14.25" customHeight="1">
      <c r="B473" s="113"/>
      <c r="D473" s="183"/>
      <c r="E473" s="70" t="s">
        <v>1112</v>
      </c>
      <c r="L473" s="61"/>
      <c r="M473" s="62"/>
      <c r="N473" s="63"/>
      <c r="O473" s="62"/>
      <c r="P473" s="63"/>
      <c r="Q473" s="62"/>
      <c r="R473" s="63"/>
      <c r="S473" s="62"/>
      <c r="T473" s="63"/>
      <c r="U473" s="62"/>
      <c r="V473" s="63"/>
      <c r="W473" s="62"/>
      <c r="X473" s="117"/>
      <c r="Y473" s="173"/>
      <c r="Z473" s="65"/>
    </row>
    <row r="474" ht="14.25" customHeight="1">
      <c r="B474" s="113"/>
      <c r="D474" s="183"/>
      <c r="E474" s="70" t="s">
        <v>1113</v>
      </c>
      <c r="L474" s="61"/>
      <c r="M474" s="62"/>
      <c r="N474" s="63"/>
      <c r="O474" s="62"/>
      <c r="P474" s="63"/>
      <c r="Q474" s="62"/>
      <c r="R474" s="63"/>
      <c r="S474" s="62"/>
      <c r="T474" s="63"/>
      <c r="U474" s="62"/>
      <c r="V474" s="63"/>
      <c r="W474" s="62"/>
      <c r="X474" s="117"/>
      <c r="Y474" s="173"/>
      <c r="Z474" s="65"/>
    </row>
    <row r="475" ht="14.25" customHeight="1">
      <c r="B475" s="113"/>
      <c r="D475" s="183"/>
      <c r="E475" s="70"/>
      <c r="L475" s="61"/>
      <c r="M475" s="62"/>
      <c r="N475" s="63"/>
      <c r="O475" s="62"/>
      <c r="P475" s="63"/>
      <c r="Q475" s="62"/>
      <c r="R475" s="63"/>
      <c r="S475" s="62"/>
      <c r="T475" s="63"/>
      <c r="U475" s="62"/>
      <c r="V475" s="63"/>
      <c r="W475" s="62"/>
      <c r="X475" s="117"/>
      <c r="Y475" s="173"/>
      <c r="Z475" s="65"/>
    </row>
    <row r="476" ht="14.25" customHeight="1">
      <c r="B476" s="113"/>
      <c r="D476" s="185" t="s">
        <v>1049</v>
      </c>
      <c r="E476" s="70" t="s">
        <v>1121</v>
      </c>
      <c r="L476" s="61"/>
      <c r="M476" s="62"/>
      <c r="N476" s="63"/>
      <c r="O476" s="62"/>
      <c r="P476" s="63"/>
      <c r="Q476" s="62"/>
      <c r="R476" s="63"/>
      <c r="S476" s="62"/>
      <c r="T476" s="63"/>
      <c r="U476" s="62"/>
      <c r="V476" s="63"/>
      <c r="W476" s="62"/>
      <c r="X476" s="117"/>
      <c r="Y476" s="173"/>
      <c r="Z476" s="65"/>
    </row>
    <row r="477" ht="14.25" customHeight="1">
      <c r="B477" s="113"/>
      <c r="D477" s="183"/>
      <c r="E477" s="70" t="s">
        <v>1111</v>
      </c>
      <c r="L477" s="61"/>
      <c r="M477" s="62"/>
      <c r="N477" s="63"/>
      <c r="O477" s="62"/>
      <c r="P477" s="63"/>
      <c r="Q477" s="62"/>
      <c r="R477" s="63"/>
      <c r="S477" s="62"/>
      <c r="T477" s="63"/>
      <c r="U477" s="62"/>
      <c r="V477" s="63"/>
      <c r="W477" s="62"/>
      <c r="X477" s="117"/>
      <c r="Y477" s="173"/>
      <c r="Z477" s="65"/>
    </row>
    <row r="478" ht="14.25" customHeight="1">
      <c r="B478" s="113"/>
      <c r="D478" s="183"/>
      <c r="E478" s="70" t="s">
        <v>1112</v>
      </c>
      <c r="L478" s="61"/>
      <c r="M478" s="62"/>
      <c r="N478" s="63"/>
      <c r="O478" s="62"/>
      <c r="P478" s="63"/>
      <c r="Q478" s="62"/>
      <c r="R478" s="63"/>
      <c r="S478" s="62"/>
      <c r="T478" s="63"/>
      <c r="U478" s="62"/>
      <c r="V478" s="63"/>
      <c r="W478" s="62"/>
      <c r="X478" s="117"/>
      <c r="Y478" s="173"/>
      <c r="Z478" s="65"/>
    </row>
    <row r="479" ht="14.25" customHeight="1">
      <c r="B479" s="113"/>
      <c r="D479" s="183"/>
      <c r="E479" s="70" t="s">
        <v>1113</v>
      </c>
      <c r="L479" s="61"/>
      <c r="M479" s="62"/>
      <c r="N479" s="63"/>
      <c r="O479" s="62"/>
      <c r="P479" s="63"/>
      <c r="Q479" s="62"/>
      <c r="R479" s="63"/>
      <c r="S479" s="62"/>
      <c r="T479" s="63"/>
      <c r="U479" s="62"/>
      <c r="V479" s="63"/>
      <c r="W479" s="62"/>
      <c r="X479" s="117"/>
      <c r="Y479" s="173"/>
      <c r="Z479" s="65"/>
    </row>
    <row r="480" ht="14.25" customHeight="1">
      <c r="B480" s="113"/>
      <c r="D480" s="183"/>
      <c r="E480" s="70"/>
      <c r="L480" s="61"/>
      <c r="M480" s="62"/>
      <c r="N480" s="63"/>
      <c r="O480" s="62"/>
      <c r="P480" s="63"/>
      <c r="Q480" s="62"/>
      <c r="R480" s="63"/>
      <c r="S480" s="62"/>
      <c r="T480" s="63"/>
      <c r="U480" s="62"/>
      <c r="V480" s="63"/>
      <c r="W480" s="62"/>
      <c r="X480" s="117"/>
      <c r="Y480" s="173"/>
      <c r="Z480" s="65"/>
    </row>
    <row r="481" ht="14.25" customHeight="1">
      <c r="B481" s="113"/>
      <c r="D481" s="588" t="s">
        <v>1122</v>
      </c>
      <c r="E481" s="589"/>
      <c r="L481" s="61"/>
      <c r="M481" s="62"/>
      <c r="N481" s="63"/>
      <c r="O481" s="62"/>
      <c r="P481" s="63"/>
      <c r="Q481" s="62"/>
      <c r="R481" s="63"/>
      <c r="S481" s="62"/>
      <c r="T481" s="63"/>
      <c r="U481" s="62"/>
      <c r="V481" s="63"/>
      <c r="W481" s="62"/>
      <c r="X481" s="117"/>
      <c r="Y481" s="173"/>
      <c r="Z481" s="65"/>
    </row>
    <row r="482" ht="14.25" customHeight="1">
      <c r="B482" s="113"/>
      <c r="D482" s="200" t="s">
        <v>1043</v>
      </c>
      <c r="E482" s="70" t="s">
        <v>1123</v>
      </c>
      <c r="L482" s="61"/>
      <c r="M482" s="62"/>
      <c r="N482" s="63"/>
      <c r="O482" s="62"/>
      <c r="P482" s="63"/>
      <c r="Q482" s="62"/>
      <c r="R482" s="63"/>
      <c r="S482" s="62"/>
      <c r="T482" s="63"/>
      <c r="U482" s="62"/>
      <c r="V482" s="63"/>
      <c r="W482" s="62"/>
      <c r="X482" s="117"/>
      <c r="Y482" s="173"/>
      <c r="Z482" s="65"/>
    </row>
    <row r="483" ht="14.25" customHeight="1">
      <c r="B483" s="113"/>
      <c r="D483" s="97"/>
      <c r="E483" s="70"/>
      <c r="L483" s="61"/>
      <c r="M483" s="62"/>
      <c r="N483" s="63"/>
      <c r="O483" s="62"/>
      <c r="P483" s="63"/>
      <c r="Q483" s="62"/>
      <c r="R483" s="63"/>
      <c r="S483" s="62"/>
      <c r="T483" s="63"/>
      <c r="U483" s="62"/>
      <c r="V483" s="63"/>
      <c r="W483" s="62"/>
      <c r="X483" s="117"/>
      <c r="Y483" s="173"/>
      <c r="Z483" s="65"/>
    </row>
    <row r="484" ht="14.25" customHeight="1">
      <c r="B484" s="113"/>
      <c r="D484" s="126"/>
      <c r="E484" s="70" t="s">
        <v>1111</v>
      </c>
      <c r="L484" s="61"/>
      <c r="M484" s="62"/>
      <c r="N484" s="63"/>
      <c r="O484" s="62"/>
      <c r="P484" s="63">
        <v>33.0</v>
      </c>
      <c r="Q484" s="62"/>
      <c r="R484" s="63">
        <f>SUM(N484:Q484)</f>
        <v>33</v>
      </c>
      <c r="S484" s="62"/>
      <c r="T484" s="63"/>
      <c r="U484" s="62">
        <v>38.0</v>
      </c>
      <c r="V484" s="63"/>
      <c r="W484" s="62">
        <f>SUM(S484:V484)</f>
        <v>38</v>
      </c>
      <c r="X484" s="117"/>
      <c r="Y484" s="173"/>
      <c r="Z484" s="65"/>
    </row>
    <row r="485" ht="14.25" customHeight="1">
      <c r="B485" s="113"/>
      <c r="D485" s="126"/>
      <c r="E485" s="70" t="s">
        <v>1112</v>
      </c>
      <c r="L485" s="61"/>
      <c r="M485" s="62"/>
      <c r="N485" s="63"/>
      <c r="O485" s="62"/>
      <c r="P485" s="63"/>
      <c r="Q485" s="62"/>
      <c r="R485" s="63"/>
      <c r="S485" s="62"/>
      <c r="T485" s="63"/>
      <c r="U485" s="62"/>
      <c r="V485" s="63"/>
      <c r="W485" s="62"/>
      <c r="X485" s="117"/>
      <c r="Y485" s="173"/>
      <c r="Z485" s="65"/>
    </row>
    <row r="486" ht="14.25" customHeight="1">
      <c r="B486" s="113"/>
      <c r="D486" s="194"/>
      <c r="E486" s="70" t="s">
        <v>1113</v>
      </c>
      <c r="L486" s="61"/>
      <c r="M486" s="62"/>
      <c r="N486" s="63"/>
      <c r="O486" s="62"/>
      <c r="P486" s="63"/>
      <c r="Q486" s="62"/>
      <c r="R486" s="63"/>
      <c r="S486" s="62"/>
      <c r="T486" s="63"/>
      <c r="U486" s="62"/>
      <c r="V486" s="63"/>
      <c r="W486" s="62"/>
      <c r="X486" s="117"/>
      <c r="Y486" s="173"/>
      <c r="Z486" s="65"/>
    </row>
    <row r="487" ht="14.25" customHeight="1">
      <c r="B487" s="113"/>
      <c r="D487" s="194"/>
      <c r="E487" s="70"/>
      <c r="L487" s="61"/>
      <c r="M487" s="62"/>
      <c r="N487" s="63"/>
      <c r="O487" s="62"/>
      <c r="P487" s="63"/>
      <c r="Q487" s="62"/>
      <c r="R487" s="63"/>
      <c r="S487" s="62"/>
      <c r="T487" s="63"/>
      <c r="U487" s="62"/>
      <c r="V487" s="63"/>
      <c r="W487" s="62"/>
      <c r="X487" s="117"/>
      <c r="Y487" s="173"/>
      <c r="Z487" s="65"/>
    </row>
    <row r="488" ht="14.25" customHeight="1">
      <c r="B488" s="113"/>
      <c r="D488" s="185" t="s">
        <v>1046</v>
      </c>
      <c r="E488" s="70" t="s">
        <v>1124</v>
      </c>
      <c r="L488" s="61"/>
      <c r="M488" s="62"/>
      <c r="N488" s="63"/>
      <c r="O488" s="62"/>
      <c r="P488" s="63"/>
      <c r="Q488" s="62"/>
      <c r="R488" s="63"/>
      <c r="S488" s="62"/>
      <c r="T488" s="63"/>
      <c r="U488" s="62"/>
      <c r="V488" s="63"/>
      <c r="W488" s="62"/>
      <c r="X488" s="117"/>
      <c r="Y488" s="173"/>
      <c r="Z488" s="65"/>
    </row>
    <row r="489" ht="14.25" customHeight="1">
      <c r="B489" s="113"/>
      <c r="D489" s="126"/>
      <c r="E489" s="70" t="s">
        <v>1111</v>
      </c>
      <c r="L489" s="61"/>
      <c r="M489" s="62"/>
      <c r="N489" s="63"/>
      <c r="O489" s="62"/>
      <c r="P489" s="63"/>
      <c r="Q489" s="62"/>
      <c r="R489" s="63"/>
      <c r="S489" s="62"/>
      <c r="T489" s="63"/>
      <c r="U489" s="567">
        <v>1.0</v>
      </c>
      <c r="V489" s="63"/>
      <c r="W489" s="62"/>
      <c r="X489" s="117"/>
      <c r="Y489" s="173"/>
      <c r="Z489" s="65"/>
    </row>
    <row r="490" ht="14.25" customHeight="1">
      <c r="B490" s="113"/>
      <c r="D490" s="126"/>
      <c r="E490" s="70" t="s">
        <v>1112</v>
      </c>
      <c r="L490" s="61"/>
      <c r="M490" s="62"/>
      <c r="N490" s="63"/>
      <c r="O490" s="62"/>
      <c r="P490" s="63"/>
      <c r="Q490" s="62"/>
      <c r="R490" s="63"/>
      <c r="S490" s="62"/>
      <c r="T490" s="63"/>
      <c r="U490" s="62"/>
      <c r="V490" s="63"/>
      <c r="W490" s="62"/>
      <c r="X490" s="117"/>
      <c r="Y490" s="173"/>
      <c r="Z490" s="65"/>
    </row>
    <row r="491" ht="14.25" customHeight="1">
      <c r="B491" s="113"/>
      <c r="D491" s="194"/>
      <c r="E491" s="70" t="s">
        <v>1113</v>
      </c>
      <c r="L491" s="61"/>
      <c r="M491" s="62"/>
      <c r="N491" s="63"/>
      <c r="O491" s="62"/>
      <c r="P491" s="63"/>
      <c r="Q491" s="62"/>
      <c r="R491" s="63"/>
      <c r="S491" s="62"/>
      <c r="T491" s="63"/>
      <c r="U491" s="62"/>
      <c r="V491" s="63"/>
      <c r="W491" s="62"/>
      <c r="X491" s="117"/>
      <c r="Y491" s="173"/>
      <c r="Z491" s="65"/>
    </row>
    <row r="492" ht="14.25" customHeight="1">
      <c r="B492" s="113"/>
      <c r="D492" s="194"/>
      <c r="E492" s="70"/>
      <c r="L492" s="61"/>
      <c r="M492" s="62"/>
      <c r="N492" s="63"/>
      <c r="O492" s="62"/>
      <c r="P492" s="63"/>
      <c r="Q492" s="62"/>
      <c r="R492" s="63"/>
      <c r="S492" s="62"/>
      <c r="T492" s="63"/>
      <c r="U492" s="62"/>
      <c r="V492" s="63"/>
      <c r="W492" s="62"/>
      <c r="X492" s="117"/>
      <c r="Y492" s="173"/>
      <c r="Z492" s="65"/>
    </row>
    <row r="493" ht="14.25" customHeight="1">
      <c r="B493" s="113"/>
      <c r="D493" s="185" t="s">
        <v>1049</v>
      </c>
      <c r="E493" s="91" t="s">
        <v>1125</v>
      </c>
      <c r="L493" s="61"/>
      <c r="M493" s="62"/>
      <c r="N493" s="63"/>
      <c r="O493" s="62"/>
      <c r="P493" s="63"/>
      <c r="Q493" s="62"/>
      <c r="R493" s="63"/>
      <c r="S493" s="62"/>
      <c r="T493" s="63"/>
      <c r="U493" s="62"/>
      <c r="V493" s="63"/>
      <c r="W493" s="62"/>
      <c r="X493" s="117"/>
      <c r="Y493" s="173"/>
      <c r="Z493" s="65"/>
    </row>
    <row r="494" ht="14.25" customHeight="1">
      <c r="B494" s="113"/>
      <c r="D494" s="126"/>
      <c r="E494" s="70" t="s">
        <v>1111</v>
      </c>
      <c r="L494" s="61"/>
      <c r="M494" s="62"/>
      <c r="N494" s="63"/>
      <c r="O494" s="62"/>
      <c r="P494" s="63"/>
      <c r="Q494" s="62"/>
      <c r="R494" s="63"/>
      <c r="S494" s="62"/>
      <c r="T494" s="63"/>
      <c r="U494" s="62"/>
      <c r="V494" s="63"/>
      <c r="W494" s="62"/>
      <c r="X494" s="117"/>
      <c r="Y494" s="173"/>
      <c r="Z494" s="65"/>
    </row>
    <row r="495" ht="14.25" customHeight="1">
      <c r="B495" s="113"/>
      <c r="D495" s="126"/>
      <c r="E495" s="70" t="s">
        <v>1112</v>
      </c>
      <c r="L495" s="61"/>
      <c r="M495" s="62"/>
      <c r="N495" s="63"/>
      <c r="O495" s="62"/>
      <c r="P495" s="63"/>
      <c r="Q495" s="62"/>
      <c r="R495" s="63"/>
      <c r="S495" s="62"/>
      <c r="T495" s="63"/>
      <c r="U495" s="62"/>
      <c r="V495" s="63"/>
      <c r="W495" s="62"/>
      <c r="X495" s="117"/>
      <c r="Y495" s="173"/>
      <c r="Z495" s="65"/>
    </row>
    <row r="496" ht="14.25" customHeight="1">
      <c r="B496" s="113"/>
      <c r="D496" s="194"/>
      <c r="E496" s="70" t="s">
        <v>1113</v>
      </c>
      <c r="L496" s="61"/>
      <c r="M496" s="62"/>
      <c r="N496" s="63"/>
      <c r="O496" s="62"/>
      <c r="P496" s="63"/>
      <c r="Q496" s="62"/>
      <c r="R496" s="63"/>
      <c r="S496" s="62"/>
      <c r="T496" s="63"/>
      <c r="U496" s="62"/>
      <c r="V496" s="63"/>
      <c r="W496" s="62"/>
      <c r="X496" s="117"/>
      <c r="Y496" s="173"/>
      <c r="Z496" s="65"/>
    </row>
    <row r="497" ht="14.25" customHeight="1">
      <c r="B497" s="113"/>
      <c r="D497" s="70"/>
      <c r="E497" s="70"/>
      <c r="L497" s="61"/>
      <c r="M497" s="62"/>
      <c r="N497" s="63"/>
      <c r="O497" s="62"/>
      <c r="P497" s="63"/>
      <c r="Q497" s="62"/>
      <c r="R497" s="63"/>
      <c r="S497" s="62"/>
      <c r="T497" s="63"/>
      <c r="U497" s="62"/>
      <c r="V497" s="63"/>
      <c r="W497" s="62"/>
      <c r="X497" s="117"/>
      <c r="Y497" s="173"/>
      <c r="Z497" s="65"/>
    </row>
    <row r="498" ht="14.25" customHeight="1">
      <c r="B498" s="113"/>
      <c r="L498" s="61"/>
      <c r="M498" s="62"/>
      <c r="N498" s="63"/>
      <c r="O498" s="62"/>
      <c r="P498" s="63"/>
      <c r="Q498" s="62"/>
      <c r="R498" s="63"/>
      <c r="S498" s="62"/>
      <c r="T498" s="63"/>
      <c r="U498" s="62"/>
      <c r="V498" s="63"/>
      <c r="W498" s="62"/>
      <c r="X498" s="117"/>
      <c r="Y498" s="173"/>
      <c r="Z498" s="65"/>
    </row>
    <row r="499" ht="14.25" customHeight="1">
      <c r="B499" s="60" t="s">
        <v>1126</v>
      </c>
      <c r="L499" s="61"/>
      <c r="M499" s="62"/>
      <c r="N499" s="63"/>
      <c r="O499" s="62"/>
      <c r="P499" s="63"/>
      <c r="Q499" s="62"/>
      <c r="R499" s="63"/>
      <c r="S499" s="62"/>
      <c r="T499" s="63"/>
      <c r="U499" s="62"/>
      <c r="V499" s="63"/>
      <c r="W499" s="62"/>
      <c r="X499" s="117"/>
      <c r="Y499" s="173"/>
      <c r="Z499" s="65"/>
    </row>
    <row r="500" ht="14.25" customHeight="1">
      <c r="B500" s="113"/>
      <c r="L500" s="61"/>
      <c r="M500" s="62"/>
      <c r="N500" s="63"/>
      <c r="O500" s="62"/>
      <c r="P500" s="63"/>
      <c r="Q500" s="62"/>
      <c r="R500" s="63"/>
      <c r="S500" s="62"/>
      <c r="T500" s="63"/>
      <c r="U500" s="62"/>
      <c r="V500" s="63"/>
      <c r="W500" s="62"/>
      <c r="X500" s="117"/>
      <c r="Y500" s="173"/>
      <c r="Z500" s="65"/>
    </row>
    <row r="501" ht="14.25" customHeight="1">
      <c r="B501" s="113"/>
      <c r="D501" s="591" t="s">
        <v>1127</v>
      </c>
      <c r="E501" s="592" t="s">
        <v>1128</v>
      </c>
      <c r="F501" s="593"/>
      <c r="G501" s="593"/>
      <c r="L501" s="61"/>
      <c r="M501" s="62"/>
      <c r="N501" s="63"/>
      <c r="O501" s="62"/>
      <c r="P501" s="63"/>
      <c r="Q501" s="62"/>
      <c r="R501" s="63"/>
      <c r="S501" s="62"/>
      <c r="T501" s="63"/>
      <c r="U501" s="62"/>
      <c r="V501" s="63"/>
      <c r="W501" s="62"/>
      <c r="X501" s="117"/>
      <c r="Y501" s="173"/>
      <c r="Z501" s="65"/>
    </row>
    <row r="502" ht="14.25" customHeight="1">
      <c r="B502" s="113"/>
      <c r="D502" s="592"/>
      <c r="E502" s="591" t="s">
        <v>1129</v>
      </c>
      <c r="F502" s="593" t="s">
        <v>1130</v>
      </c>
      <c r="G502" s="593"/>
      <c r="L502" s="61"/>
      <c r="M502" s="62"/>
      <c r="N502" s="63">
        <v>1.0</v>
      </c>
      <c r="O502" s="62">
        <v>3.0</v>
      </c>
      <c r="P502" s="63">
        <v>2.0</v>
      </c>
      <c r="Q502" s="62">
        <v>2.0</v>
      </c>
      <c r="R502" s="63">
        <f>SUM(N502:Q502)</f>
        <v>8</v>
      </c>
      <c r="S502" s="62">
        <v>0.0</v>
      </c>
      <c r="T502" s="63">
        <v>3.0</v>
      </c>
      <c r="U502" s="62">
        <v>3.0</v>
      </c>
      <c r="V502" s="63">
        <v>3.0</v>
      </c>
      <c r="W502" s="62">
        <f>SUM(S502:V502)</f>
        <v>9</v>
      </c>
      <c r="X502" s="117"/>
      <c r="Y502" s="173"/>
      <c r="Z502" s="65"/>
    </row>
    <row r="503" ht="14.25" customHeight="1">
      <c r="B503" s="113"/>
      <c r="D503" s="592"/>
      <c r="E503" s="591" t="s">
        <v>1131</v>
      </c>
      <c r="F503" s="593" t="s">
        <v>1202</v>
      </c>
      <c r="G503" s="593"/>
      <c r="L503" s="61"/>
      <c r="M503" s="62"/>
      <c r="N503" s="63"/>
      <c r="O503" s="62"/>
      <c r="P503" s="63"/>
      <c r="Q503" s="62"/>
      <c r="R503" s="63"/>
      <c r="S503" s="62"/>
      <c r="T503" s="63"/>
      <c r="U503" s="62"/>
      <c r="V503" s="63"/>
      <c r="W503" s="62"/>
      <c r="X503" s="117"/>
      <c r="Y503" s="173"/>
      <c r="Z503" s="65"/>
    </row>
    <row r="504" ht="14.25" customHeight="1">
      <c r="B504" s="113"/>
      <c r="D504" s="591" t="s">
        <v>906</v>
      </c>
      <c r="E504" s="593" t="s">
        <v>1133</v>
      </c>
      <c r="F504" s="593"/>
      <c r="G504" s="593"/>
      <c r="L504" s="61"/>
      <c r="M504" s="62"/>
      <c r="N504" s="63"/>
      <c r="O504" s="62"/>
      <c r="P504" s="63"/>
      <c r="Q504" s="62"/>
      <c r="R504" s="63"/>
      <c r="S504" s="62"/>
      <c r="T504" s="63"/>
      <c r="U504" s="62"/>
      <c r="V504" s="63"/>
      <c r="W504" s="62"/>
      <c r="X504" s="117"/>
      <c r="Y504" s="173"/>
      <c r="Z504" s="65"/>
    </row>
    <row r="505" ht="14.25" customHeight="1">
      <c r="B505" s="113"/>
      <c r="D505" s="593"/>
      <c r="E505" s="591" t="s">
        <v>1134</v>
      </c>
      <c r="F505" s="593" t="s">
        <v>1135</v>
      </c>
      <c r="G505" s="593"/>
      <c r="L505" s="61"/>
      <c r="M505" s="62"/>
      <c r="N505" s="63">
        <v>2.0</v>
      </c>
      <c r="O505" s="62">
        <v>3.0</v>
      </c>
      <c r="P505" s="63">
        <v>2.0</v>
      </c>
      <c r="Q505" s="62">
        <v>3.0</v>
      </c>
      <c r="R505" s="63">
        <f>SUM(N505:Q505)</f>
        <v>10</v>
      </c>
      <c r="S505" s="62"/>
      <c r="T505" s="63">
        <v>3.0</v>
      </c>
      <c r="U505" s="62">
        <v>4.0</v>
      </c>
      <c r="V505" s="63">
        <v>7.0</v>
      </c>
      <c r="W505" s="62">
        <f>SUM(S505:V505)</f>
        <v>14</v>
      </c>
      <c r="X505" s="117"/>
      <c r="Y505" s="173"/>
      <c r="Z505" s="65"/>
    </row>
    <row r="506" ht="14.25" customHeight="1">
      <c r="B506" s="113"/>
      <c r="D506" s="593"/>
      <c r="E506" s="591" t="s">
        <v>1136</v>
      </c>
      <c r="F506" s="593" t="s">
        <v>1137</v>
      </c>
      <c r="G506" s="593"/>
      <c r="L506" s="61"/>
      <c r="M506" s="62"/>
      <c r="N506" s="63"/>
      <c r="O506" s="62"/>
      <c r="P506" s="63"/>
      <c r="Q506" s="62"/>
      <c r="R506" s="63"/>
      <c r="S506" s="62"/>
      <c r="T506" s="63"/>
      <c r="U506" s="62"/>
      <c r="V506" s="63"/>
      <c r="W506" s="62"/>
      <c r="X506" s="117"/>
      <c r="Y506" s="173"/>
      <c r="Z506" s="65"/>
    </row>
    <row r="507" ht="14.25" customHeight="1">
      <c r="B507" s="113"/>
      <c r="D507" s="591" t="s">
        <v>924</v>
      </c>
      <c r="E507" s="593" t="s">
        <v>1138</v>
      </c>
      <c r="F507" s="593"/>
      <c r="G507" s="593"/>
      <c r="L507" s="61"/>
      <c r="M507" s="62"/>
      <c r="N507" s="63"/>
      <c r="O507" s="62"/>
      <c r="P507" s="63"/>
      <c r="Q507" s="62"/>
      <c r="R507" s="63"/>
      <c r="S507" s="62"/>
      <c r="T507" s="63"/>
      <c r="U507" s="62"/>
      <c r="V507" s="63"/>
      <c r="W507" s="62"/>
      <c r="X507" s="117"/>
      <c r="Y507" s="173"/>
      <c r="Z507" s="65"/>
    </row>
    <row r="508" ht="14.25" customHeight="1">
      <c r="B508" s="113"/>
      <c r="D508" s="592"/>
      <c r="E508" s="595" t="s">
        <v>1139</v>
      </c>
      <c r="F508" s="593" t="s">
        <v>1140</v>
      </c>
      <c r="G508" s="593"/>
      <c r="L508" s="61"/>
      <c r="M508" s="62"/>
      <c r="N508" s="63">
        <v>2.0</v>
      </c>
      <c r="O508" s="62">
        <v>2.0</v>
      </c>
      <c r="P508" s="63">
        <v>2.0</v>
      </c>
      <c r="Q508" s="62">
        <v>2.0</v>
      </c>
      <c r="R508" s="63">
        <f>SUM(N508:Q508)</f>
        <v>8</v>
      </c>
      <c r="S508" s="62">
        <v>2.0</v>
      </c>
      <c r="T508" s="63">
        <v>2.0</v>
      </c>
      <c r="U508" s="62">
        <v>5.0</v>
      </c>
      <c r="V508" s="63">
        <v>6.0</v>
      </c>
      <c r="W508" s="62">
        <f>SUM(S508:V508)</f>
        <v>15</v>
      </c>
      <c r="X508" s="117"/>
      <c r="Y508" s="173"/>
      <c r="Z508" s="65"/>
    </row>
    <row r="509" ht="14.25" customHeight="1">
      <c r="B509" s="113"/>
      <c r="D509" s="592"/>
      <c r="E509" s="595" t="s">
        <v>1141</v>
      </c>
      <c r="F509" s="593" t="s">
        <v>1142</v>
      </c>
      <c r="G509" s="593"/>
      <c r="L509" s="61"/>
      <c r="M509" s="62"/>
      <c r="N509" s="63"/>
      <c r="O509" s="62"/>
      <c r="P509" s="63"/>
      <c r="Q509" s="62"/>
      <c r="R509" s="63"/>
      <c r="S509" s="62"/>
      <c r="T509" s="63"/>
      <c r="U509" s="62"/>
      <c r="V509" s="63"/>
      <c r="W509" s="62"/>
      <c r="X509" s="117"/>
      <c r="Y509" s="173"/>
      <c r="Z509" s="65"/>
    </row>
    <row r="510" ht="14.25" customHeight="1">
      <c r="B510" s="113"/>
      <c r="D510" s="591" t="s">
        <v>926</v>
      </c>
      <c r="E510" s="595" t="s">
        <v>1143</v>
      </c>
      <c r="F510" s="593"/>
      <c r="G510" s="593"/>
      <c r="L510" s="61"/>
      <c r="M510" s="62"/>
      <c r="N510" s="63"/>
      <c r="O510" s="62"/>
      <c r="P510" s="63"/>
      <c r="Q510" s="62"/>
      <c r="R510" s="63"/>
      <c r="S510" s="62"/>
      <c r="T510" s="63"/>
      <c r="U510" s="62"/>
      <c r="V510" s="63"/>
      <c r="W510" s="62"/>
      <c r="X510" s="117"/>
      <c r="Y510" s="173"/>
      <c r="Z510" s="65"/>
    </row>
    <row r="511" ht="14.25" customHeight="1">
      <c r="B511" s="113"/>
      <c r="D511" s="592"/>
      <c r="E511" s="595" t="s">
        <v>1144</v>
      </c>
      <c r="F511" s="593" t="s">
        <v>1145</v>
      </c>
      <c r="G511" s="593"/>
      <c r="L511" s="61"/>
      <c r="M511" s="62"/>
      <c r="N511" s="63">
        <v>5.0</v>
      </c>
      <c r="O511" s="62">
        <v>5.0</v>
      </c>
      <c r="P511" s="63">
        <v>5.0</v>
      </c>
      <c r="Q511" s="62">
        <v>5.0</v>
      </c>
      <c r="R511" s="63">
        <f>SUM(N511:Q511)</f>
        <v>20</v>
      </c>
      <c r="S511" s="62">
        <v>8.0</v>
      </c>
      <c r="T511" s="63">
        <v>7.0</v>
      </c>
      <c r="U511" s="62">
        <v>4.0</v>
      </c>
      <c r="V511" s="63">
        <v>2.0</v>
      </c>
      <c r="W511" s="62">
        <f>SUM(S511:V511)</f>
        <v>21</v>
      </c>
      <c r="X511" s="117"/>
      <c r="Y511" s="173"/>
      <c r="Z511" s="65"/>
    </row>
    <row r="512" ht="14.25" customHeight="1">
      <c r="B512" s="113"/>
      <c r="D512" s="592"/>
      <c r="E512" s="595" t="s">
        <v>1146</v>
      </c>
      <c r="F512" s="593" t="s">
        <v>1147</v>
      </c>
      <c r="G512" s="593"/>
      <c r="L512" s="61"/>
      <c r="M512" s="62"/>
      <c r="N512" s="63"/>
      <c r="O512" s="62"/>
      <c r="P512" s="63"/>
      <c r="Q512" s="62"/>
      <c r="R512" s="63"/>
      <c r="S512" s="62"/>
      <c r="T512" s="63"/>
      <c r="U512" s="62"/>
      <c r="V512" s="63"/>
      <c r="W512" s="62"/>
      <c r="X512" s="117"/>
      <c r="Y512" s="173"/>
      <c r="Z512" s="65"/>
    </row>
    <row r="513" ht="14.25" customHeight="1">
      <c r="B513" s="113"/>
      <c r="D513" s="592"/>
      <c r="E513" s="595" t="s">
        <v>1148</v>
      </c>
      <c r="F513" s="593" t="s">
        <v>1149</v>
      </c>
      <c r="G513" s="593"/>
      <c r="L513" s="61"/>
      <c r="M513" s="62"/>
      <c r="N513" s="63"/>
      <c r="O513" s="62"/>
      <c r="P513" s="63"/>
      <c r="Q513" s="62"/>
      <c r="R513" s="63"/>
      <c r="S513" s="62"/>
      <c r="T513" s="63"/>
      <c r="U513" s="62"/>
      <c r="V513" s="63"/>
      <c r="W513" s="62"/>
      <c r="X513" s="117"/>
      <c r="Y513" s="173"/>
      <c r="Z513" s="65"/>
    </row>
    <row r="514" ht="14.25" customHeight="1">
      <c r="B514" s="113"/>
      <c r="D514" s="592"/>
      <c r="E514" s="595" t="s">
        <v>1150</v>
      </c>
      <c r="F514" s="593" t="s">
        <v>1151</v>
      </c>
      <c r="G514" s="593"/>
      <c r="L514" s="61"/>
      <c r="M514" s="62"/>
      <c r="N514" s="63">
        <v>2.0</v>
      </c>
      <c r="O514" s="62">
        <v>2.0</v>
      </c>
      <c r="P514" s="63">
        <v>2.0</v>
      </c>
      <c r="Q514" s="62">
        <v>2.0</v>
      </c>
      <c r="R514" s="63">
        <f>SUM(N514:Q514)</f>
        <v>8</v>
      </c>
      <c r="S514" s="62"/>
      <c r="T514" s="63">
        <v>6.0</v>
      </c>
      <c r="U514" s="62">
        <v>1.0</v>
      </c>
      <c r="V514" s="63">
        <v>2.0</v>
      </c>
      <c r="W514" s="62">
        <f>SUM(S514:V514)</f>
        <v>9</v>
      </c>
      <c r="X514" s="117"/>
      <c r="Y514" s="173"/>
      <c r="Z514" s="65"/>
    </row>
    <row r="515" ht="14.25" customHeight="1">
      <c r="B515" s="113"/>
      <c r="D515" s="591" t="s">
        <v>1152</v>
      </c>
      <c r="E515" s="593" t="s">
        <v>1153</v>
      </c>
      <c r="F515" s="593"/>
      <c r="G515" s="593"/>
      <c r="L515" s="61"/>
      <c r="M515" s="62"/>
      <c r="N515" s="63"/>
      <c r="O515" s="62"/>
      <c r="P515" s="63"/>
      <c r="Q515" s="62"/>
      <c r="R515" s="63"/>
      <c r="S515" s="62"/>
      <c r="T515" s="63"/>
      <c r="U515" s="62"/>
      <c r="V515" s="63"/>
      <c r="W515" s="62"/>
      <c r="X515" s="117"/>
      <c r="Y515" s="173"/>
      <c r="Z515" s="65"/>
    </row>
    <row r="516" ht="14.25" customHeight="1">
      <c r="B516" s="113"/>
      <c r="D516" s="592"/>
      <c r="E516" s="595" t="s">
        <v>1154</v>
      </c>
      <c r="F516" s="593" t="s">
        <v>1155</v>
      </c>
      <c r="G516" s="593"/>
      <c r="L516" s="61"/>
      <c r="M516" s="62"/>
      <c r="N516" s="63">
        <v>63.0</v>
      </c>
      <c r="O516" s="62">
        <v>63.0</v>
      </c>
      <c r="P516" s="63">
        <v>63.0</v>
      </c>
      <c r="Q516" s="62">
        <v>63.0</v>
      </c>
      <c r="R516" s="63">
        <f>SUM(N516:Q516)</f>
        <v>252</v>
      </c>
      <c r="S516" s="62">
        <v>22.0</v>
      </c>
      <c r="T516" s="63">
        <v>23.0</v>
      </c>
      <c r="U516" s="62">
        <v>167.0</v>
      </c>
      <c r="V516" s="63">
        <v>75.0</v>
      </c>
      <c r="W516" s="62">
        <f>SUM(S516:V516)</f>
        <v>287</v>
      </c>
      <c r="X516" s="117"/>
      <c r="Y516" s="173"/>
      <c r="Z516" s="65"/>
    </row>
    <row r="517" ht="14.25" customHeight="1">
      <c r="B517" s="113"/>
      <c r="D517" s="592"/>
      <c r="E517" s="595" t="s">
        <v>1156</v>
      </c>
      <c r="F517" s="593" t="s">
        <v>1157</v>
      </c>
      <c r="G517" s="593"/>
      <c r="L517" s="61"/>
      <c r="M517" s="62"/>
      <c r="N517" s="63"/>
      <c r="O517" s="62"/>
      <c r="P517" s="63"/>
      <c r="Q517" s="62"/>
      <c r="R517" s="63"/>
      <c r="S517" s="62"/>
      <c r="T517" s="63"/>
      <c r="U517" s="62"/>
      <c r="V517" s="63"/>
      <c r="W517" s="62"/>
      <c r="X517" s="117"/>
      <c r="Y517" s="173"/>
      <c r="Z517" s="65"/>
    </row>
    <row r="518" ht="14.25" customHeight="1">
      <c r="B518" s="113"/>
      <c r="D518" s="591" t="s">
        <v>1158</v>
      </c>
      <c r="E518" s="593" t="s">
        <v>1159</v>
      </c>
      <c r="F518" s="593"/>
      <c r="G518" s="593"/>
      <c r="L518" s="61"/>
      <c r="M518" s="62"/>
      <c r="N518" s="63"/>
      <c r="O518" s="62"/>
      <c r="P518" s="63"/>
      <c r="Q518" s="62"/>
      <c r="R518" s="63"/>
      <c r="S518" s="62"/>
      <c r="T518" s="63"/>
      <c r="U518" s="62"/>
      <c r="V518" s="63"/>
      <c r="W518" s="62"/>
      <c r="X518" s="117"/>
      <c r="Y518" s="173"/>
      <c r="Z518" s="65"/>
    </row>
    <row r="519" ht="14.25" customHeight="1">
      <c r="B519" s="113"/>
      <c r="D519" s="592"/>
      <c r="E519" s="595" t="s">
        <v>1160</v>
      </c>
      <c r="F519" s="593" t="s">
        <v>1203</v>
      </c>
      <c r="G519" s="593"/>
      <c r="L519" s="61"/>
      <c r="M519" s="62"/>
      <c r="N519" s="63" t="s">
        <v>131</v>
      </c>
      <c r="O519" s="62">
        <v>1.0</v>
      </c>
      <c r="P519" s="63">
        <v>1.0</v>
      </c>
      <c r="Q519" s="62">
        <v>1.0</v>
      </c>
      <c r="R519" s="63">
        <f t="shared" ref="R519:R520" si="9">SUM(N519:Q519)</f>
        <v>3</v>
      </c>
      <c r="S519" s="62"/>
      <c r="T519" s="63"/>
      <c r="U519" s="62">
        <v>2.0</v>
      </c>
      <c r="V519" s="63">
        <v>1.0</v>
      </c>
      <c r="W519" s="62">
        <f t="shared" ref="W519:W520" si="10">SUM(S519:V519)</f>
        <v>3</v>
      </c>
      <c r="X519" s="117"/>
      <c r="Y519" s="173"/>
      <c r="Z519" s="65"/>
    </row>
    <row r="520" ht="14.25" customHeight="1">
      <c r="B520" s="113"/>
      <c r="D520" s="592"/>
      <c r="E520" s="595" t="s">
        <v>1162</v>
      </c>
      <c r="F520" s="593" t="s">
        <v>1163</v>
      </c>
      <c r="G520" s="593"/>
      <c r="L520" s="61"/>
      <c r="M520" s="62"/>
      <c r="N520" s="63" t="s">
        <v>131</v>
      </c>
      <c r="O520" s="62">
        <v>1.0</v>
      </c>
      <c r="P520" s="63">
        <v>1.0</v>
      </c>
      <c r="Q520" s="62">
        <v>1.0</v>
      </c>
      <c r="R520" s="63">
        <f t="shared" si="9"/>
        <v>3</v>
      </c>
      <c r="S520" s="62"/>
      <c r="T520" s="63"/>
      <c r="U520" s="62">
        <v>2.0</v>
      </c>
      <c r="V520" s="63">
        <v>1.0</v>
      </c>
      <c r="W520" s="62">
        <f t="shared" si="10"/>
        <v>3</v>
      </c>
      <c r="X520" s="117"/>
      <c r="Y520" s="173"/>
      <c r="Z520" s="65"/>
    </row>
    <row r="521" ht="14.25" customHeight="1">
      <c r="B521" s="113"/>
      <c r="D521" s="592"/>
      <c r="E521" s="595" t="s">
        <v>1164</v>
      </c>
      <c r="F521" s="593" t="s">
        <v>1165</v>
      </c>
      <c r="G521" s="593"/>
      <c r="L521" s="61"/>
      <c r="M521" s="62"/>
      <c r="N521" s="63"/>
      <c r="O521" s="62"/>
      <c r="P521" s="63"/>
      <c r="Q521" s="62"/>
      <c r="R521" s="63"/>
      <c r="S521" s="62"/>
      <c r="T521" s="63"/>
      <c r="U521" s="62"/>
      <c r="V521" s="63"/>
      <c r="W521" s="62"/>
      <c r="X521" s="117"/>
      <c r="Y521" s="173"/>
      <c r="Z521" s="65"/>
    </row>
    <row r="522" ht="14.25" customHeight="1">
      <c r="B522" s="113"/>
      <c r="D522" s="592"/>
      <c r="E522" s="592">
        <v>6.3</v>
      </c>
      <c r="F522" s="593" t="s">
        <v>1166</v>
      </c>
      <c r="G522" s="593"/>
      <c r="L522" s="61"/>
      <c r="M522" s="62"/>
      <c r="N522" s="63" t="s">
        <v>131</v>
      </c>
      <c r="O522" s="62">
        <v>1.0</v>
      </c>
      <c r="P522" s="63"/>
      <c r="Q522" s="62"/>
      <c r="R522" s="63">
        <f>SUM(N522:Q522)</f>
        <v>1</v>
      </c>
      <c r="S522" s="62"/>
      <c r="T522" s="63"/>
      <c r="U522" s="62"/>
      <c r="V522" s="63"/>
      <c r="W522" s="62"/>
      <c r="X522" s="117"/>
      <c r="Y522" s="173"/>
      <c r="Z522" s="65"/>
    </row>
    <row r="523" ht="14.25" customHeight="1">
      <c r="B523" s="113"/>
      <c r="D523" s="592"/>
      <c r="E523" s="592"/>
      <c r="F523" s="593"/>
      <c r="G523" s="593"/>
      <c r="L523" s="61"/>
      <c r="M523" s="62"/>
      <c r="N523" s="63"/>
      <c r="O523" s="62"/>
      <c r="P523" s="63"/>
      <c r="Q523" s="62"/>
      <c r="R523" s="63"/>
      <c r="S523" s="62"/>
      <c r="T523" s="63"/>
      <c r="U523" s="62"/>
      <c r="V523" s="63"/>
      <c r="W523" s="62"/>
      <c r="X523" s="117"/>
      <c r="Y523" s="173"/>
      <c r="Z523" s="65"/>
    </row>
    <row r="524" ht="14.25" customHeight="1">
      <c r="B524" s="113"/>
      <c r="D524" s="591" t="s">
        <v>1167</v>
      </c>
      <c r="E524" s="593" t="s">
        <v>1168</v>
      </c>
      <c r="F524" s="593"/>
      <c r="G524" s="593"/>
      <c r="L524" s="61"/>
      <c r="M524" s="62"/>
      <c r="N524" s="63"/>
      <c r="O524" s="62"/>
      <c r="P524" s="63"/>
      <c r="Q524" s="62"/>
      <c r="R524" s="63"/>
      <c r="S524" s="62"/>
      <c r="T524" s="63"/>
      <c r="U524" s="62"/>
      <c r="V524" s="63"/>
      <c r="W524" s="62"/>
      <c r="X524" s="117"/>
      <c r="Y524" s="173"/>
      <c r="Z524" s="65"/>
    </row>
    <row r="525" ht="14.25" customHeight="1">
      <c r="B525" s="113"/>
      <c r="D525" s="592"/>
      <c r="E525" s="595" t="s">
        <v>1169</v>
      </c>
      <c r="F525" s="593" t="s">
        <v>1170</v>
      </c>
      <c r="G525" s="593"/>
      <c r="L525" s="61"/>
      <c r="M525" s="62"/>
      <c r="N525" s="63" t="s">
        <v>1204</v>
      </c>
      <c r="O525" s="62">
        <v>1.0</v>
      </c>
      <c r="P525" s="63" t="s">
        <v>1204</v>
      </c>
      <c r="Q525" s="62" t="s">
        <v>1204</v>
      </c>
      <c r="R525" s="63">
        <f>SUM(N525:Q525)</f>
        <v>1</v>
      </c>
      <c r="S525" s="62"/>
      <c r="T525" s="63"/>
      <c r="U525" s="62"/>
      <c r="V525" s="63">
        <v>1.0</v>
      </c>
      <c r="W525" s="62">
        <f>SUM(S525:V525)</f>
        <v>1</v>
      </c>
      <c r="X525" s="117"/>
      <c r="Y525" s="173"/>
      <c r="Z525" s="65"/>
    </row>
    <row r="526" ht="15.75" customHeight="1">
      <c r="B526" s="113"/>
      <c r="D526" s="592"/>
      <c r="E526" s="596" t="s">
        <v>1171</v>
      </c>
      <c r="F526" s="593" t="s">
        <v>1172</v>
      </c>
      <c r="G526" s="593"/>
      <c r="L526" s="61"/>
      <c r="M526" s="62"/>
      <c r="N526" s="63" t="s">
        <v>1204</v>
      </c>
      <c r="O526" s="62" t="s">
        <v>1204</v>
      </c>
      <c r="P526" s="63" t="s">
        <v>1204</v>
      </c>
      <c r="Q526" s="62" t="s">
        <v>1204</v>
      </c>
      <c r="R526" s="63"/>
      <c r="S526" s="62"/>
      <c r="T526" s="63"/>
      <c r="U526" s="62"/>
      <c r="V526" s="63"/>
      <c r="W526" s="62"/>
      <c r="X526" s="117"/>
      <c r="Y526" s="173"/>
      <c r="Z526" s="65"/>
    </row>
    <row r="527" ht="14.25" customHeight="1">
      <c r="B527" s="113"/>
      <c r="D527" s="592"/>
      <c r="E527" s="596" t="s">
        <v>1173</v>
      </c>
      <c r="F527" s="597" t="s">
        <v>1174</v>
      </c>
      <c r="G527" s="593"/>
      <c r="L527" s="61"/>
      <c r="M527" s="62"/>
      <c r="N527" s="63" t="s">
        <v>1204</v>
      </c>
      <c r="O527" s="62" t="s">
        <v>1204</v>
      </c>
      <c r="P527" s="63" t="s">
        <v>1204</v>
      </c>
      <c r="Q527" s="62" t="s">
        <v>1204</v>
      </c>
      <c r="R527" s="63"/>
      <c r="S527" s="62"/>
      <c r="T527" s="63"/>
      <c r="U527" s="62"/>
      <c r="V527" s="63"/>
      <c r="W527" s="62"/>
      <c r="X527" s="117"/>
      <c r="Y527" s="173"/>
      <c r="Z527" s="65"/>
    </row>
    <row r="528" ht="14.25" customHeight="1">
      <c r="B528" s="113"/>
      <c r="D528" s="592"/>
      <c r="E528" s="592"/>
      <c r="F528" s="593"/>
      <c r="G528" s="593"/>
      <c r="L528" s="61"/>
      <c r="M528" s="62"/>
      <c r="N528" s="63"/>
      <c r="O528" s="62"/>
      <c r="P528" s="63"/>
      <c r="Q528" s="62"/>
      <c r="R528" s="63"/>
      <c r="S528" s="62"/>
      <c r="T528" s="63"/>
      <c r="U528" s="62"/>
      <c r="V528" s="63"/>
      <c r="W528" s="62"/>
      <c r="X528" s="117"/>
      <c r="Y528" s="173"/>
      <c r="Z528" s="65"/>
    </row>
    <row r="529" ht="14.25" customHeight="1">
      <c r="B529" s="113"/>
      <c r="D529" s="592"/>
      <c r="E529" s="597"/>
      <c r="F529" s="597"/>
      <c r="G529" s="593"/>
      <c r="L529" s="61"/>
      <c r="M529" s="62"/>
      <c r="N529" s="63"/>
      <c r="O529" s="62"/>
      <c r="P529" s="63"/>
      <c r="Q529" s="62"/>
      <c r="R529" s="63"/>
      <c r="S529" s="62"/>
      <c r="T529" s="63"/>
      <c r="U529" s="62"/>
      <c r="V529" s="63"/>
      <c r="W529" s="62"/>
      <c r="X529" s="117"/>
      <c r="Y529" s="173"/>
      <c r="Z529" s="65"/>
    </row>
    <row r="530" ht="14.25" customHeight="1">
      <c r="B530" s="113"/>
      <c r="D530" s="591" t="s">
        <v>1175</v>
      </c>
      <c r="E530" s="595" t="s">
        <v>1176</v>
      </c>
      <c r="F530" s="593"/>
      <c r="G530" s="593"/>
      <c r="L530" s="61"/>
      <c r="M530" s="62"/>
      <c r="N530" s="63"/>
      <c r="O530" s="62"/>
      <c r="P530" s="63"/>
      <c r="Q530" s="62"/>
      <c r="R530" s="63"/>
      <c r="S530" s="62"/>
      <c r="T530" s="63"/>
      <c r="U530" s="62"/>
      <c r="V530" s="63"/>
      <c r="W530" s="62"/>
      <c r="X530" s="117"/>
      <c r="Y530" s="173"/>
      <c r="Z530" s="65"/>
    </row>
    <row r="531" ht="14.25" customHeight="1">
      <c r="B531" s="113"/>
      <c r="D531" s="592"/>
      <c r="E531" s="592">
        <v>8.1</v>
      </c>
      <c r="F531" s="593" t="s">
        <v>1177</v>
      </c>
      <c r="G531" s="593"/>
      <c r="L531" s="61"/>
      <c r="M531" s="62"/>
      <c r="N531" s="63" t="s">
        <v>1204</v>
      </c>
      <c r="O531" s="62" t="s">
        <v>1204</v>
      </c>
      <c r="P531" s="63" t="s">
        <v>1204</v>
      </c>
      <c r="Q531" s="62" t="s">
        <v>1204</v>
      </c>
      <c r="R531" s="63"/>
      <c r="S531" s="62"/>
      <c r="T531" s="63"/>
      <c r="U531" s="62"/>
      <c r="V531" s="63"/>
      <c r="W531" s="62"/>
      <c r="X531" s="117"/>
      <c r="Y531" s="173"/>
      <c r="Z531" s="65"/>
    </row>
    <row r="532" ht="14.25" customHeight="1">
      <c r="B532" s="113"/>
      <c r="D532" s="592"/>
      <c r="E532" s="592">
        <v>8.2</v>
      </c>
      <c r="F532" s="593" t="s">
        <v>1178</v>
      </c>
      <c r="G532" s="593"/>
      <c r="L532" s="61"/>
      <c r="M532" s="62"/>
      <c r="N532" s="63" t="s">
        <v>1204</v>
      </c>
      <c r="O532" s="62" t="s">
        <v>1204</v>
      </c>
      <c r="P532" s="63" t="s">
        <v>1204</v>
      </c>
      <c r="Q532" s="62" t="s">
        <v>1204</v>
      </c>
      <c r="R532" s="63"/>
      <c r="S532" s="62"/>
      <c r="T532" s="63"/>
      <c r="U532" s="62"/>
      <c r="V532" s="63"/>
      <c r="W532" s="62"/>
      <c r="X532" s="117"/>
      <c r="Y532" s="173"/>
      <c r="Z532" s="65"/>
    </row>
    <row r="533" ht="14.25" customHeight="1">
      <c r="B533" s="113"/>
      <c r="D533" s="592"/>
      <c r="E533" s="592">
        <v>8.3</v>
      </c>
      <c r="F533" s="595" t="s">
        <v>1179</v>
      </c>
      <c r="G533" s="593"/>
      <c r="L533" s="61"/>
      <c r="M533" s="62"/>
      <c r="N533" s="63" t="s">
        <v>1204</v>
      </c>
      <c r="O533" s="62" t="s">
        <v>1204</v>
      </c>
      <c r="P533" s="63" t="s">
        <v>1204</v>
      </c>
      <c r="Q533" s="62" t="s">
        <v>1204</v>
      </c>
      <c r="R533" s="63"/>
      <c r="S533" s="62"/>
      <c r="T533" s="63"/>
      <c r="U533" s="62"/>
      <c r="V533" s="63"/>
      <c r="W533" s="62"/>
      <c r="X533" s="117"/>
      <c r="Y533" s="173"/>
      <c r="Z533" s="65"/>
    </row>
    <row r="534" ht="15.75" customHeight="1">
      <c r="B534" s="243"/>
      <c r="C534" s="244"/>
      <c r="D534" s="245"/>
      <c r="E534" s="246">
        <v>8.4</v>
      </c>
      <c r="F534" s="598" t="s">
        <v>1180</v>
      </c>
      <c r="G534" s="247"/>
      <c r="H534" s="244"/>
      <c r="I534" s="244"/>
      <c r="J534" s="244"/>
      <c r="K534" s="244"/>
      <c r="L534" s="248"/>
      <c r="M534" s="249"/>
      <c r="N534" s="607" t="s">
        <v>1204</v>
      </c>
      <c r="O534" s="249" t="s">
        <v>1204</v>
      </c>
      <c r="P534" s="607" t="s">
        <v>1204</v>
      </c>
      <c r="Q534" s="249" t="s">
        <v>1204</v>
      </c>
      <c r="R534" s="607"/>
      <c r="S534" s="249"/>
      <c r="T534" s="607"/>
      <c r="U534" s="249"/>
      <c r="V534" s="607"/>
      <c r="W534" s="249"/>
      <c r="X534" s="599"/>
      <c r="Y534" s="600"/>
      <c r="Z534" s="253"/>
    </row>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548">
    <mergeCell ref="X181:Y181"/>
    <mergeCell ref="X182:Y182"/>
    <mergeCell ref="X183:Y183"/>
    <mergeCell ref="X184:Y184"/>
    <mergeCell ref="X185:Y185"/>
    <mergeCell ref="X186:Y186"/>
    <mergeCell ref="X187:Y187"/>
    <mergeCell ref="X188:Y188"/>
    <mergeCell ref="X189:Y189"/>
    <mergeCell ref="X190:Y190"/>
    <mergeCell ref="X191:Y191"/>
    <mergeCell ref="X192:Y192"/>
    <mergeCell ref="X193:Y193"/>
    <mergeCell ref="X194:Y194"/>
    <mergeCell ref="X195:Y195"/>
    <mergeCell ref="X196:Y196"/>
    <mergeCell ref="X197:Y197"/>
    <mergeCell ref="X198:Y198"/>
    <mergeCell ref="X199:Y199"/>
    <mergeCell ref="X200:Y200"/>
    <mergeCell ref="X201:Y201"/>
    <mergeCell ref="X202:Y202"/>
    <mergeCell ref="X203:Y203"/>
    <mergeCell ref="X204:Y204"/>
    <mergeCell ref="X205:Y205"/>
    <mergeCell ref="X206:Y206"/>
    <mergeCell ref="X207:Y207"/>
    <mergeCell ref="X208:Y208"/>
    <mergeCell ref="X209:Y209"/>
    <mergeCell ref="X210:Y210"/>
    <mergeCell ref="X211:Y211"/>
    <mergeCell ref="X212:Y212"/>
    <mergeCell ref="X213:Y213"/>
    <mergeCell ref="X214:Y214"/>
    <mergeCell ref="X215:Y215"/>
    <mergeCell ref="X216:Y216"/>
    <mergeCell ref="X217:Y217"/>
    <mergeCell ref="X218:Y218"/>
    <mergeCell ref="X219:Y219"/>
    <mergeCell ref="X220:Y220"/>
    <mergeCell ref="X221:Y221"/>
    <mergeCell ref="X222:Y222"/>
    <mergeCell ref="X223:Y223"/>
    <mergeCell ref="X224:Y224"/>
    <mergeCell ref="X225:Y225"/>
    <mergeCell ref="X226:Y226"/>
    <mergeCell ref="X227:Y227"/>
    <mergeCell ref="X228:Y228"/>
    <mergeCell ref="X229:Y229"/>
    <mergeCell ref="X230:Y230"/>
    <mergeCell ref="X231:Y231"/>
    <mergeCell ref="X232:Y232"/>
    <mergeCell ref="X233:Y233"/>
    <mergeCell ref="X234:Y234"/>
    <mergeCell ref="X235:Y235"/>
    <mergeCell ref="X236:Y236"/>
    <mergeCell ref="X237:Y237"/>
    <mergeCell ref="X238:Y238"/>
    <mergeCell ref="X239:Y239"/>
    <mergeCell ref="R240:R245"/>
    <mergeCell ref="X240:Y240"/>
    <mergeCell ref="X241:Y241"/>
    <mergeCell ref="X242:Y242"/>
    <mergeCell ref="X245:Y245"/>
    <mergeCell ref="X243:Y243"/>
    <mergeCell ref="X244:Y244"/>
    <mergeCell ref="X246:Y246"/>
    <mergeCell ref="X247:Y247"/>
    <mergeCell ref="X248:Y248"/>
    <mergeCell ref="X249:Y249"/>
    <mergeCell ref="X250:Y250"/>
    <mergeCell ref="X251:Y251"/>
    <mergeCell ref="X252:Y252"/>
    <mergeCell ref="X253:Y253"/>
    <mergeCell ref="X254:Y254"/>
    <mergeCell ref="X255:Y255"/>
    <mergeCell ref="X256:Y256"/>
    <mergeCell ref="X257:Y257"/>
    <mergeCell ref="X258:Y258"/>
    <mergeCell ref="X259:Y259"/>
    <mergeCell ref="X260:Y260"/>
    <mergeCell ref="X261:Y261"/>
    <mergeCell ref="X262:Y262"/>
    <mergeCell ref="X263:Y263"/>
    <mergeCell ref="X264:Y264"/>
    <mergeCell ref="X265:Y265"/>
    <mergeCell ref="X266:Y266"/>
    <mergeCell ref="X267:Y267"/>
    <mergeCell ref="X268:Y268"/>
    <mergeCell ref="X269:Y269"/>
    <mergeCell ref="X270:Y270"/>
    <mergeCell ref="X271:Y271"/>
    <mergeCell ref="X272:Y272"/>
    <mergeCell ref="X273:Y273"/>
    <mergeCell ref="X274:Y274"/>
    <mergeCell ref="X275:Y275"/>
    <mergeCell ref="X276:Y276"/>
    <mergeCell ref="X277:Y277"/>
    <mergeCell ref="X278:Y278"/>
    <mergeCell ref="X279:Y279"/>
    <mergeCell ref="X280:Y280"/>
    <mergeCell ref="X281:Y281"/>
    <mergeCell ref="X282:Y282"/>
    <mergeCell ref="X283:Y283"/>
    <mergeCell ref="X284:Y284"/>
    <mergeCell ref="X285:Y285"/>
    <mergeCell ref="X286:Y286"/>
    <mergeCell ref="X287:Y287"/>
    <mergeCell ref="X288:Y288"/>
    <mergeCell ref="X289:Y289"/>
    <mergeCell ref="X290:Y290"/>
    <mergeCell ref="X291:Y291"/>
    <mergeCell ref="X292:Y292"/>
    <mergeCell ref="X293:Y293"/>
    <mergeCell ref="X294:Y294"/>
    <mergeCell ref="X295:Y295"/>
    <mergeCell ref="X296:Y296"/>
    <mergeCell ref="X297:Y297"/>
    <mergeCell ref="X298:Y298"/>
    <mergeCell ref="X299:Y299"/>
    <mergeCell ref="X300:Y300"/>
    <mergeCell ref="X301:Y301"/>
    <mergeCell ref="X302:Y302"/>
    <mergeCell ref="X303:Y303"/>
    <mergeCell ref="X304:Y304"/>
    <mergeCell ref="X305:Y305"/>
    <mergeCell ref="X306:Y306"/>
    <mergeCell ref="X307:Y307"/>
    <mergeCell ref="X308:Y308"/>
    <mergeCell ref="X309:Y309"/>
    <mergeCell ref="X310:Y310"/>
    <mergeCell ref="X311:Y311"/>
    <mergeCell ref="X312:Y312"/>
    <mergeCell ref="X313:Y313"/>
    <mergeCell ref="X314:Y314"/>
    <mergeCell ref="X315:Y315"/>
    <mergeCell ref="X316:Y316"/>
    <mergeCell ref="X317:Y317"/>
    <mergeCell ref="X318:Y318"/>
    <mergeCell ref="X319:Y319"/>
    <mergeCell ref="X320:Y320"/>
    <mergeCell ref="X321:Y321"/>
    <mergeCell ref="X322:Y322"/>
    <mergeCell ref="X323:Y323"/>
    <mergeCell ref="X324:Y324"/>
    <mergeCell ref="X325:Y325"/>
    <mergeCell ref="X326:Y326"/>
    <mergeCell ref="X327:Y327"/>
    <mergeCell ref="X328:Y328"/>
    <mergeCell ref="X329:Y329"/>
    <mergeCell ref="X330:Y330"/>
    <mergeCell ref="X331:Y331"/>
    <mergeCell ref="X332:Y332"/>
    <mergeCell ref="X333:Y333"/>
    <mergeCell ref="X334:Y334"/>
    <mergeCell ref="X335:Y335"/>
    <mergeCell ref="X336:Y336"/>
    <mergeCell ref="X337:Y337"/>
    <mergeCell ref="X338:Y338"/>
    <mergeCell ref="X339:Y339"/>
    <mergeCell ref="X340:Y340"/>
    <mergeCell ref="X341:Y341"/>
    <mergeCell ref="X342:Y342"/>
    <mergeCell ref="X343:Y343"/>
    <mergeCell ref="X344:Y344"/>
    <mergeCell ref="X345:Y345"/>
    <mergeCell ref="X346:Y346"/>
    <mergeCell ref="X347:Y347"/>
    <mergeCell ref="X348:Y348"/>
    <mergeCell ref="X349:Y349"/>
    <mergeCell ref="X350:Y350"/>
    <mergeCell ref="X351:Y351"/>
    <mergeCell ref="X352:Y352"/>
    <mergeCell ref="X353:Y353"/>
    <mergeCell ref="X354:Y354"/>
    <mergeCell ref="X355:Y355"/>
    <mergeCell ref="X356:Y356"/>
    <mergeCell ref="X357:Y357"/>
    <mergeCell ref="X358:Y358"/>
    <mergeCell ref="X359:Y359"/>
    <mergeCell ref="X360:Y360"/>
    <mergeCell ref="X361:Y361"/>
    <mergeCell ref="X362:Y362"/>
    <mergeCell ref="X363:Y363"/>
    <mergeCell ref="X364:Y364"/>
    <mergeCell ref="X365:Y365"/>
    <mergeCell ref="X366:Y366"/>
    <mergeCell ref="X367:Y367"/>
    <mergeCell ref="X368:Y368"/>
    <mergeCell ref="X369:Y369"/>
    <mergeCell ref="X370:Y370"/>
    <mergeCell ref="X371:Y371"/>
    <mergeCell ref="X372:Y372"/>
    <mergeCell ref="X373:Y373"/>
    <mergeCell ref="X374:Y374"/>
    <mergeCell ref="X375:Y375"/>
    <mergeCell ref="X376:Y376"/>
    <mergeCell ref="X377:Y377"/>
    <mergeCell ref="X378:Y378"/>
    <mergeCell ref="X379:Y379"/>
    <mergeCell ref="X380:Y380"/>
    <mergeCell ref="X381:Y381"/>
    <mergeCell ref="X382:Y382"/>
    <mergeCell ref="X383:Y383"/>
    <mergeCell ref="X384:Y384"/>
    <mergeCell ref="X385:Y385"/>
    <mergeCell ref="X386:Y386"/>
    <mergeCell ref="X387:Y387"/>
    <mergeCell ref="X388:Y388"/>
    <mergeCell ref="X389:Y389"/>
    <mergeCell ref="X390:Y390"/>
    <mergeCell ref="X391:Y391"/>
    <mergeCell ref="X392:Y392"/>
    <mergeCell ref="X393:Y393"/>
    <mergeCell ref="X394:Y394"/>
    <mergeCell ref="X395:Y395"/>
    <mergeCell ref="X396:Y396"/>
    <mergeCell ref="X397:Y397"/>
    <mergeCell ref="X398:Y398"/>
    <mergeCell ref="X399:Y399"/>
    <mergeCell ref="X400:Y400"/>
    <mergeCell ref="X401:Y401"/>
    <mergeCell ref="X402:Y402"/>
    <mergeCell ref="X403:Y403"/>
    <mergeCell ref="X404:Y404"/>
    <mergeCell ref="X405:Y4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69:Y469"/>
    <mergeCell ref="X470:Y470"/>
    <mergeCell ref="X471:Y471"/>
    <mergeCell ref="X472:Y472"/>
    <mergeCell ref="X473:Y473"/>
    <mergeCell ref="X474:Y474"/>
    <mergeCell ref="X531:Y531"/>
    <mergeCell ref="X532:Y532"/>
    <mergeCell ref="X533:Y533"/>
    <mergeCell ref="X534:Y534"/>
    <mergeCell ref="X524:Y524"/>
    <mergeCell ref="X525:Y525"/>
    <mergeCell ref="X526:Y526"/>
    <mergeCell ref="X527:Y527"/>
    <mergeCell ref="X528:Y528"/>
    <mergeCell ref="X529:Y529"/>
    <mergeCell ref="X530:Y530"/>
    <mergeCell ref="X475:Y475"/>
    <mergeCell ref="X476:Y476"/>
    <mergeCell ref="X477:Y477"/>
    <mergeCell ref="X478:Y478"/>
    <mergeCell ref="X479:Y479"/>
    <mergeCell ref="X480:Y480"/>
    <mergeCell ref="X481:Y481"/>
    <mergeCell ref="X482:Y482"/>
    <mergeCell ref="X483:Y483"/>
    <mergeCell ref="X484:Y484"/>
    <mergeCell ref="X485:Y485"/>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520:Y520"/>
    <mergeCell ref="X521:Y521"/>
    <mergeCell ref="X522:Y522"/>
    <mergeCell ref="X523:Y523"/>
    <mergeCell ref="X10:Y14"/>
    <mergeCell ref="X15:Y15"/>
    <mergeCell ref="B9:E9"/>
    <mergeCell ref="B10:L14"/>
    <mergeCell ref="M10:M14"/>
    <mergeCell ref="N10:R11"/>
    <mergeCell ref="S10:W11"/>
    <mergeCell ref="Z10:Z14"/>
    <mergeCell ref="B15:L15"/>
    <mergeCell ref="X1:Z1"/>
    <mergeCell ref="A2:Z2"/>
    <mergeCell ref="A3:Z3"/>
    <mergeCell ref="I5:M5"/>
    <mergeCell ref="I6:M6"/>
    <mergeCell ref="I7:M7"/>
    <mergeCell ref="I8:M8"/>
    <mergeCell ref="N12:N14"/>
    <mergeCell ref="O12:O14"/>
    <mergeCell ref="P12:P14"/>
    <mergeCell ref="Q12:Q14"/>
    <mergeCell ref="R12:R14"/>
    <mergeCell ref="S12:S14"/>
    <mergeCell ref="T12:T14"/>
    <mergeCell ref="U12:U14"/>
    <mergeCell ref="B16:L16"/>
    <mergeCell ref="X16:Y16"/>
    <mergeCell ref="V12:V14"/>
    <mergeCell ref="W12:W14"/>
    <mergeCell ref="X17:Y17"/>
    <mergeCell ref="X18:Y18"/>
    <mergeCell ref="X19:Y19"/>
    <mergeCell ref="X20:Y20"/>
    <mergeCell ref="X21:Y21"/>
    <mergeCell ref="X22:Y22"/>
    <mergeCell ref="X23:Y23"/>
    <mergeCell ref="X24:Y24"/>
    <mergeCell ref="X25:Y25"/>
    <mergeCell ref="X26:Y26"/>
    <mergeCell ref="X27:Y27"/>
    <mergeCell ref="X28:Y28"/>
    <mergeCell ref="X29:Y29"/>
    <mergeCell ref="X30:Y30"/>
    <mergeCell ref="X31:Y31"/>
    <mergeCell ref="X32:Y32"/>
    <mergeCell ref="X33:Y33"/>
    <mergeCell ref="X34:Y34"/>
    <mergeCell ref="X35:Y35"/>
    <mergeCell ref="X36:Y36"/>
    <mergeCell ref="X37:Y37"/>
    <mergeCell ref="X38:Y38"/>
    <mergeCell ref="X39:Y39"/>
    <mergeCell ref="X40:Y40"/>
    <mergeCell ref="X41:Y41"/>
    <mergeCell ref="X42:Y42"/>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81:Y81"/>
    <mergeCell ref="X82:Y82"/>
    <mergeCell ref="X43:Y43"/>
    <mergeCell ref="X44:Y44"/>
    <mergeCell ref="R45:R84"/>
    <mergeCell ref="X45:Y45"/>
    <mergeCell ref="X46:Y46"/>
    <mergeCell ref="X47:Y47"/>
    <mergeCell ref="X48:Y48"/>
    <mergeCell ref="X83:Y83"/>
    <mergeCell ref="X84:Y84"/>
    <mergeCell ref="X85:Y85"/>
    <mergeCell ref="X86:Y86"/>
    <mergeCell ref="X87:Y87"/>
    <mergeCell ref="X88:Y88"/>
    <mergeCell ref="X89:Y89"/>
    <mergeCell ref="X90:Y90"/>
    <mergeCell ref="X91:Y91"/>
    <mergeCell ref="X92:Y92"/>
    <mergeCell ref="X93:Y93"/>
    <mergeCell ref="X94:Y94"/>
    <mergeCell ref="X95:Y95"/>
    <mergeCell ref="X96:Y96"/>
    <mergeCell ref="X97:Y97"/>
    <mergeCell ref="X98:Y98"/>
    <mergeCell ref="X99:Y99"/>
    <mergeCell ref="X100:Y100"/>
    <mergeCell ref="X101:Y101"/>
    <mergeCell ref="X102:Y102"/>
    <mergeCell ref="X103:Y103"/>
    <mergeCell ref="X104:Y104"/>
    <mergeCell ref="X105:Y105"/>
    <mergeCell ref="X106:Y106"/>
    <mergeCell ref="X107:Y107"/>
    <mergeCell ref="X108:Y108"/>
    <mergeCell ref="X109:Y109"/>
    <mergeCell ref="X110:Y110"/>
    <mergeCell ref="X111:Y111"/>
    <mergeCell ref="X112:Y112"/>
    <mergeCell ref="X113:Y113"/>
    <mergeCell ref="X114:Y114"/>
    <mergeCell ref="X115:Y115"/>
    <mergeCell ref="X116:Y116"/>
    <mergeCell ref="X117:Y117"/>
    <mergeCell ref="X118:Y118"/>
    <mergeCell ref="X119:Y119"/>
    <mergeCell ref="X120:Y120"/>
    <mergeCell ref="X121:Y121"/>
    <mergeCell ref="X122:Y122"/>
    <mergeCell ref="X123:Y123"/>
    <mergeCell ref="X124:Y124"/>
    <mergeCell ref="X125:Y125"/>
    <mergeCell ref="X126:Y126"/>
    <mergeCell ref="X127:Y127"/>
    <mergeCell ref="X128:Y128"/>
    <mergeCell ref="X129:Y129"/>
    <mergeCell ref="X130:Y130"/>
    <mergeCell ref="X131:Y131"/>
    <mergeCell ref="X132:Y132"/>
    <mergeCell ref="X133:Y133"/>
    <mergeCell ref="X134:Y134"/>
    <mergeCell ref="X135:Y135"/>
    <mergeCell ref="X136:Y136"/>
    <mergeCell ref="X137:Y137"/>
    <mergeCell ref="X138:Y138"/>
    <mergeCell ref="X139:Y139"/>
    <mergeCell ref="X140:Y140"/>
    <mergeCell ref="X141:Y141"/>
    <mergeCell ref="X142:Y142"/>
    <mergeCell ref="X143:Y143"/>
    <mergeCell ref="X144:Y144"/>
    <mergeCell ref="X145:Y145"/>
    <mergeCell ref="X146:Y146"/>
    <mergeCell ref="X147:Y147"/>
    <mergeCell ref="X148:Y148"/>
    <mergeCell ref="X149:Y149"/>
    <mergeCell ref="X150:Y150"/>
    <mergeCell ref="X151:Y151"/>
    <mergeCell ref="X152:Y152"/>
    <mergeCell ref="X153:Y153"/>
    <mergeCell ref="X154:Y154"/>
    <mergeCell ref="X155:Y155"/>
    <mergeCell ref="X156:Y156"/>
    <mergeCell ref="X157:Y157"/>
    <mergeCell ref="X158:Y158"/>
    <mergeCell ref="X159:Y159"/>
    <mergeCell ref="X160:Y160"/>
    <mergeCell ref="X161:Y161"/>
    <mergeCell ref="X162:Y162"/>
    <mergeCell ref="X163:Y163"/>
    <mergeCell ref="X164:Y164"/>
    <mergeCell ref="X165:Y165"/>
    <mergeCell ref="X166:Y166"/>
    <mergeCell ref="X167:Y167"/>
    <mergeCell ref="X168:Y168"/>
    <mergeCell ref="X169:Y169"/>
    <mergeCell ref="X170:Y170"/>
    <mergeCell ref="X171:Y171"/>
    <mergeCell ref="X172:Y172"/>
    <mergeCell ref="X173:Y173"/>
    <mergeCell ref="X174:Y174"/>
    <mergeCell ref="X175:Y175"/>
    <mergeCell ref="X176:Y176"/>
    <mergeCell ref="X177:Y177"/>
    <mergeCell ref="X178:Y178"/>
    <mergeCell ref="X179:Y179"/>
    <mergeCell ref="X180:Y180"/>
  </mergeCell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5.0" topLeftCell="A16" activePane="bottomLeft" state="frozen"/>
      <selection activeCell="B17" sqref="B17" pane="bottomLeft"/>
    </sheetView>
  </sheetViews>
  <sheetFormatPr customHeight="1" defaultColWidth="14.43" defaultRowHeight="15.0"/>
  <cols>
    <col customWidth="1" hidden="1" min="1" max="1" width="9.14"/>
    <col customWidth="1" min="2" max="13" width="9.14"/>
    <col customWidth="1" min="14" max="14" width="14.71"/>
    <col customWidth="1" min="15" max="15" width="14.29"/>
    <col customWidth="1" min="16" max="16" width="15.0"/>
    <col customWidth="1" min="17" max="17" width="13.43"/>
    <col customWidth="1" min="18" max="18" width="18.86"/>
    <col customWidth="1" min="19" max="20" width="13.29"/>
    <col customWidth="1" min="21" max="21" width="16.29"/>
    <col customWidth="1" min="22" max="22" width="12.57"/>
    <col customWidth="1" min="23" max="23" width="20.57"/>
    <col customWidth="1" min="24" max="25" width="9.14"/>
    <col customWidth="1" min="26" max="26" width="13.43"/>
  </cols>
  <sheetData>
    <row r="1" ht="14.25" customHeight="1">
      <c r="A1" s="1"/>
      <c r="B1" s="1"/>
      <c r="C1" s="1"/>
      <c r="D1" s="1"/>
      <c r="E1" s="1"/>
      <c r="F1" s="1"/>
      <c r="G1" s="1"/>
      <c r="H1" s="1"/>
      <c r="I1" s="1"/>
      <c r="J1" s="1"/>
      <c r="K1" s="1"/>
      <c r="L1" s="1"/>
      <c r="M1" s="1"/>
      <c r="N1" s="1"/>
      <c r="O1" s="1"/>
      <c r="P1" s="1"/>
      <c r="Q1" s="1"/>
      <c r="R1" s="1"/>
      <c r="S1" s="1"/>
      <c r="T1" s="1"/>
      <c r="U1" s="1"/>
      <c r="V1" s="1"/>
      <c r="W1" s="1"/>
      <c r="X1" s="2" t="s">
        <v>0</v>
      </c>
      <c r="Y1" s="5"/>
      <c r="Z1" s="3"/>
    </row>
    <row r="2" ht="14.25" customHeight="1">
      <c r="A2" s="4" t="s">
        <v>1</v>
      </c>
      <c r="B2" s="5"/>
      <c r="C2" s="5"/>
      <c r="D2" s="5"/>
      <c r="E2" s="5"/>
      <c r="F2" s="5"/>
      <c r="G2" s="5"/>
      <c r="H2" s="5"/>
      <c r="I2" s="5"/>
      <c r="J2" s="5"/>
      <c r="K2" s="5"/>
      <c r="L2" s="5"/>
      <c r="M2" s="5"/>
      <c r="N2" s="5"/>
      <c r="O2" s="5"/>
      <c r="P2" s="5"/>
      <c r="Q2" s="5"/>
      <c r="R2" s="5"/>
      <c r="S2" s="5"/>
      <c r="T2" s="5"/>
      <c r="U2" s="5"/>
      <c r="V2" s="5"/>
      <c r="W2" s="5"/>
      <c r="X2" s="5"/>
      <c r="Y2" s="5"/>
      <c r="Z2" s="3"/>
    </row>
    <row r="3" ht="14.25" customHeight="1">
      <c r="A3" s="6" t="s">
        <v>1205</v>
      </c>
      <c r="B3" s="5"/>
      <c r="C3" s="5"/>
      <c r="D3" s="5"/>
      <c r="E3" s="5"/>
      <c r="F3" s="5"/>
      <c r="G3" s="5"/>
      <c r="H3" s="5"/>
      <c r="I3" s="5"/>
      <c r="J3" s="5"/>
      <c r="K3" s="5"/>
      <c r="L3" s="5"/>
      <c r="M3" s="5"/>
      <c r="N3" s="5"/>
      <c r="O3" s="5"/>
      <c r="P3" s="5"/>
      <c r="Q3" s="5"/>
      <c r="R3" s="5"/>
      <c r="S3" s="5"/>
      <c r="T3" s="5"/>
      <c r="U3" s="5"/>
      <c r="V3" s="5"/>
      <c r="W3" s="5"/>
      <c r="X3" s="5"/>
      <c r="Y3" s="5"/>
      <c r="Z3" s="3"/>
    </row>
    <row r="4" ht="14.25" customHeight="1">
      <c r="A4" s="7"/>
      <c r="B4" s="7"/>
      <c r="C4" s="7"/>
      <c r="D4" s="7"/>
      <c r="E4" s="7"/>
      <c r="F4" s="7"/>
      <c r="G4" s="7"/>
      <c r="H4" s="7"/>
      <c r="I4" s="7"/>
      <c r="J4" s="7"/>
      <c r="K4" s="7"/>
      <c r="L4" s="7"/>
      <c r="M4" s="7"/>
      <c r="N4" s="7"/>
      <c r="O4" s="7"/>
      <c r="P4" s="7"/>
      <c r="Q4" s="7"/>
      <c r="R4" s="7"/>
      <c r="S4" s="7"/>
      <c r="T4" s="7"/>
      <c r="U4" s="7"/>
      <c r="V4" s="7"/>
      <c r="W4" s="7"/>
      <c r="X4" s="7"/>
      <c r="Y4" s="7"/>
      <c r="Z4" s="8"/>
    </row>
    <row r="5" ht="14.25" customHeight="1">
      <c r="A5" s="1"/>
      <c r="B5" s="9" t="s">
        <v>3</v>
      </c>
      <c r="C5" s="9"/>
      <c r="D5" s="9"/>
      <c r="E5" s="10"/>
      <c r="F5" s="10"/>
      <c r="G5" s="10"/>
      <c r="H5" s="11" t="s">
        <v>4</v>
      </c>
      <c r="I5" s="12" t="s">
        <v>5</v>
      </c>
      <c r="J5" s="5"/>
      <c r="K5" s="5"/>
      <c r="L5" s="5"/>
      <c r="M5" s="3"/>
      <c r="N5" s="13"/>
      <c r="O5" s="13"/>
      <c r="P5" s="13"/>
      <c r="Q5" s="13"/>
      <c r="R5" s="13"/>
      <c r="S5" s="13"/>
      <c r="T5" s="13"/>
      <c r="U5" s="14"/>
      <c r="V5" s="14"/>
      <c r="W5" s="15"/>
      <c r="X5" s="16" t="s">
        <v>6</v>
      </c>
      <c r="Y5" s="16"/>
      <c r="Z5" s="17"/>
    </row>
    <row r="6" ht="14.25" customHeight="1">
      <c r="A6" s="1"/>
      <c r="B6" s="9" t="s">
        <v>7</v>
      </c>
      <c r="C6" s="9"/>
      <c r="D6" s="9"/>
      <c r="E6" s="10"/>
      <c r="F6" s="10"/>
      <c r="G6" s="10"/>
      <c r="H6" s="11" t="s">
        <v>4</v>
      </c>
      <c r="I6" s="12"/>
      <c r="J6" s="5"/>
      <c r="K6" s="5"/>
      <c r="L6" s="5"/>
      <c r="M6" s="3"/>
      <c r="N6" s="13"/>
      <c r="O6" s="13"/>
      <c r="P6" s="13"/>
      <c r="Q6" s="13"/>
      <c r="R6" s="13"/>
      <c r="S6" s="13"/>
      <c r="T6" s="13"/>
      <c r="U6" s="14"/>
      <c r="V6" s="14"/>
      <c r="W6" s="18"/>
      <c r="X6" s="16" t="s">
        <v>8</v>
      </c>
      <c r="Y6" s="16"/>
      <c r="Z6" s="17"/>
    </row>
    <row r="7" ht="14.25" customHeight="1">
      <c r="A7" s="1"/>
      <c r="B7" s="9" t="s">
        <v>9</v>
      </c>
      <c r="C7" s="9"/>
      <c r="D7" s="9"/>
      <c r="E7" s="10"/>
      <c r="F7" s="10"/>
      <c r="G7" s="10"/>
      <c r="H7" s="11" t="s">
        <v>4</v>
      </c>
      <c r="I7" s="12"/>
      <c r="J7" s="5"/>
      <c r="K7" s="5"/>
      <c r="L7" s="5"/>
      <c r="M7" s="3"/>
      <c r="N7" s="13"/>
      <c r="O7" s="13"/>
      <c r="P7" s="13"/>
      <c r="Q7" s="13"/>
      <c r="R7" s="13"/>
      <c r="S7" s="14"/>
      <c r="T7" s="14"/>
      <c r="U7" s="14"/>
      <c r="V7" s="1"/>
      <c r="W7" s="18"/>
      <c r="X7" s="16" t="s">
        <v>10</v>
      </c>
      <c r="Y7" s="16"/>
      <c r="Z7" s="17"/>
    </row>
    <row r="8" ht="14.25" customHeight="1">
      <c r="A8" s="1"/>
      <c r="B8" s="9" t="s">
        <v>11</v>
      </c>
      <c r="C8" s="9"/>
      <c r="D8" s="9"/>
      <c r="E8" s="10"/>
      <c r="F8" s="10"/>
      <c r="G8" s="10"/>
      <c r="H8" s="11" t="s">
        <v>4</v>
      </c>
      <c r="I8" s="12"/>
      <c r="J8" s="5"/>
      <c r="K8" s="5"/>
      <c r="L8" s="5"/>
      <c r="M8" s="3"/>
      <c r="N8" s="13"/>
      <c r="O8" s="13"/>
      <c r="P8" s="13"/>
      <c r="Q8" s="13"/>
      <c r="R8" s="13"/>
      <c r="S8" s="14"/>
      <c r="T8" s="14"/>
      <c r="U8" s="14"/>
      <c r="V8" s="1"/>
      <c r="W8" s="18"/>
      <c r="X8" s="16" t="s">
        <v>12</v>
      </c>
      <c r="Y8" s="16"/>
      <c r="Z8" s="17"/>
    </row>
    <row r="9" ht="14.25" customHeight="1">
      <c r="A9" s="1"/>
      <c r="B9" s="19"/>
      <c r="C9" s="5"/>
      <c r="D9" s="5"/>
      <c r="E9" s="3"/>
      <c r="F9" s="17"/>
      <c r="G9" s="17"/>
      <c r="H9" s="17"/>
      <c r="I9" s="17"/>
      <c r="J9" s="17"/>
      <c r="K9" s="1"/>
      <c r="L9" s="1"/>
      <c r="M9" s="1"/>
      <c r="N9" s="1"/>
      <c r="O9" s="1"/>
      <c r="P9" s="1"/>
      <c r="Q9" s="1"/>
      <c r="R9" s="1"/>
      <c r="S9" s="1"/>
      <c r="T9" s="1"/>
      <c r="U9" s="14"/>
      <c r="V9" s="1"/>
      <c r="W9" s="14"/>
      <c r="X9" s="1"/>
      <c r="Y9" s="17"/>
      <c r="Z9" s="1"/>
    </row>
    <row r="10" ht="15.75" customHeight="1">
      <c r="A10" s="1"/>
      <c r="B10" s="20" t="s">
        <v>13</v>
      </c>
      <c r="C10" s="21"/>
      <c r="D10" s="21"/>
      <c r="E10" s="21"/>
      <c r="F10" s="21"/>
      <c r="G10" s="21"/>
      <c r="H10" s="21"/>
      <c r="I10" s="21"/>
      <c r="J10" s="21"/>
      <c r="K10" s="21"/>
      <c r="L10" s="22"/>
      <c r="M10" s="23" t="s">
        <v>14</v>
      </c>
      <c r="N10" s="20" t="s">
        <v>15</v>
      </c>
      <c r="O10" s="21"/>
      <c r="P10" s="21"/>
      <c r="Q10" s="21"/>
      <c r="R10" s="22"/>
      <c r="S10" s="24" t="s">
        <v>16</v>
      </c>
      <c r="T10" s="21"/>
      <c r="U10" s="21"/>
      <c r="V10" s="21"/>
      <c r="W10" s="25"/>
      <c r="X10" s="20" t="s">
        <v>1182</v>
      </c>
      <c r="Y10" s="22"/>
      <c r="Z10" s="27" t="s">
        <v>18</v>
      </c>
    </row>
    <row r="11" ht="14.25" customHeight="1">
      <c r="A11" s="1"/>
      <c r="B11" s="28"/>
      <c r="L11" s="29"/>
      <c r="M11" s="30"/>
      <c r="N11" s="31"/>
      <c r="O11" s="32"/>
      <c r="P11" s="32"/>
      <c r="Q11" s="32"/>
      <c r="R11" s="33"/>
      <c r="S11" s="34"/>
      <c r="T11" s="35"/>
      <c r="U11" s="35"/>
      <c r="V11" s="35"/>
      <c r="W11" s="36"/>
      <c r="X11" s="28"/>
      <c r="Y11" s="29"/>
      <c r="Z11" s="38"/>
    </row>
    <row r="12" ht="15.75" customHeight="1">
      <c r="A12" s="1"/>
      <c r="B12" s="28"/>
      <c r="L12" s="29"/>
      <c r="M12" s="30"/>
      <c r="N12" s="39" t="s">
        <v>19</v>
      </c>
      <c r="O12" s="23" t="s">
        <v>20</v>
      </c>
      <c r="P12" s="39" t="s">
        <v>21</v>
      </c>
      <c r="Q12" s="23" t="s">
        <v>22</v>
      </c>
      <c r="R12" s="39" t="s">
        <v>23</v>
      </c>
      <c r="S12" s="23" t="s">
        <v>19</v>
      </c>
      <c r="T12" s="39" t="s">
        <v>20</v>
      </c>
      <c r="U12" s="23" t="s">
        <v>21</v>
      </c>
      <c r="V12" s="39" t="s">
        <v>22</v>
      </c>
      <c r="W12" s="23" t="s">
        <v>23</v>
      </c>
      <c r="X12" s="28"/>
      <c r="Y12" s="29"/>
      <c r="Z12" s="38"/>
    </row>
    <row r="13" ht="14.25" customHeight="1">
      <c r="A13" s="1"/>
      <c r="B13" s="28"/>
      <c r="L13" s="29"/>
      <c r="M13" s="30"/>
      <c r="N13" s="40"/>
      <c r="O13" s="30"/>
      <c r="P13" s="40"/>
      <c r="Q13" s="30"/>
      <c r="R13" s="40"/>
      <c r="S13" s="30"/>
      <c r="T13" s="40"/>
      <c r="U13" s="30"/>
      <c r="V13" s="40"/>
      <c r="W13" s="30"/>
      <c r="X13" s="28"/>
      <c r="Y13" s="29"/>
      <c r="Z13" s="38"/>
    </row>
    <row r="14" ht="14.25" customHeight="1">
      <c r="A14" s="1"/>
      <c r="B14" s="31"/>
      <c r="C14" s="32"/>
      <c r="D14" s="32"/>
      <c r="E14" s="32"/>
      <c r="F14" s="32"/>
      <c r="G14" s="32"/>
      <c r="H14" s="32"/>
      <c r="I14" s="32"/>
      <c r="J14" s="32"/>
      <c r="K14" s="32"/>
      <c r="L14" s="33"/>
      <c r="M14" s="41"/>
      <c r="N14" s="42"/>
      <c r="O14" s="41"/>
      <c r="P14" s="42"/>
      <c r="Q14" s="41"/>
      <c r="R14" s="42"/>
      <c r="S14" s="41"/>
      <c r="T14" s="42"/>
      <c r="U14" s="41"/>
      <c r="V14" s="42"/>
      <c r="W14" s="41"/>
      <c r="X14" s="31"/>
      <c r="Y14" s="33"/>
      <c r="Z14" s="44"/>
    </row>
    <row r="15" ht="14.25" customHeight="1">
      <c r="A15" s="1"/>
      <c r="B15" s="45">
        <v>1.0</v>
      </c>
      <c r="C15" s="5"/>
      <c r="D15" s="5"/>
      <c r="E15" s="5"/>
      <c r="F15" s="5"/>
      <c r="G15" s="5"/>
      <c r="H15" s="5"/>
      <c r="I15" s="5"/>
      <c r="J15" s="5"/>
      <c r="K15" s="5"/>
      <c r="L15" s="46"/>
      <c r="M15" s="47">
        <v>2.0</v>
      </c>
      <c r="N15" s="48">
        <v>3.0</v>
      </c>
      <c r="O15" s="47">
        <v>4.0</v>
      </c>
      <c r="P15" s="49">
        <v>5.0</v>
      </c>
      <c r="Q15" s="50">
        <v>6.0</v>
      </c>
      <c r="R15" s="51" t="s">
        <v>24</v>
      </c>
      <c r="S15" s="52">
        <v>8.0</v>
      </c>
      <c r="T15" s="51">
        <v>9.0</v>
      </c>
      <c r="U15" s="52">
        <v>10.0</v>
      </c>
      <c r="V15" s="51">
        <v>11.0</v>
      </c>
      <c r="W15" s="52" t="s">
        <v>25</v>
      </c>
      <c r="X15" s="543">
        <v>13.0</v>
      </c>
      <c r="Y15" s="544"/>
      <c r="Z15" s="54">
        <v>14.0</v>
      </c>
    </row>
    <row r="16" ht="14.25" customHeight="1">
      <c r="B16" s="55"/>
      <c r="L16" s="29"/>
      <c r="M16" s="56"/>
      <c r="N16" s="57"/>
      <c r="O16" s="56"/>
      <c r="P16" s="57"/>
      <c r="Q16" s="56"/>
      <c r="R16" s="57"/>
      <c r="S16" s="56"/>
      <c r="T16" s="57"/>
      <c r="U16" s="56"/>
      <c r="V16" s="57"/>
      <c r="W16" s="56"/>
      <c r="X16" s="545"/>
      <c r="Y16" s="224"/>
      <c r="Z16" s="59"/>
    </row>
    <row r="17" ht="14.25" customHeight="1">
      <c r="B17" s="60" t="s">
        <v>840</v>
      </c>
      <c r="L17" s="61"/>
      <c r="M17" s="62"/>
      <c r="N17" s="63"/>
      <c r="O17" s="62"/>
      <c r="P17" s="63"/>
      <c r="Q17" s="62"/>
      <c r="R17" s="63"/>
      <c r="S17" s="62"/>
      <c r="T17" s="63"/>
      <c r="U17" s="62"/>
      <c r="V17" s="63"/>
      <c r="W17" s="62"/>
      <c r="X17" s="117"/>
      <c r="Y17" s="173"/>
      <c r="Z17" s="65"/>
    </row>
    <row r="18" ht="14.25" customHeight="1">
      <c r="B18" s="113"/>
      <c r="L18" s="61"/>
      <c r="M18" s="62"/>
      <c r="N18" s="63"/>
      <c r="O18" s="62"/>
      <c r="P18" s="63"/>
      <c r="Q18" s="62"/>
      <c r="R18" s="63"/>
      <c r="S18" s="62"/>
      <c r="T18" s="63"/>
      <c r="U18" s="62"/>
      <c r="V18" s="63"/>
      <c r="W18" s="62"/>
      <c r="X18" s="117"/>
      <c r="Y18" s="173"/>
      <c r="Z18" s="65"/>
    </row>
    <row r="19" ht="15.0" customHeight="1">
      <c r="B19" s="69" t="s">
        <v>841</v>
      </c>
      <c r="C19" s="70"/>
      <c r="L19" s="61"/>
      <c r="M19" s="62"/>
      <c r="N19" s="71"/>
      <c r="O19" s="72"/>
      <c r="P19" s="71"/>
      <c r="Q19" s="72"/>
      <c r="R19" s="63"/>
      <c r="S19" s="72"/>
      <c r="T19" s="71"/>
      <c r="U19" s="72"/>
      <c r="V19" s="71"/>
      <c r="W19" s="62"/>
      <c r="X19" s="117"/>
      <c r="Y19" s="173"/>
      <c r="Z19" s="65"/>
    </row>
    <row r="20" ht="14.25" customHeight="1">
      <c r="B20" s="547"/>
      <c r="C20" s="75"/>
      <c r="L20" s="61"/>
      <c r="M20" s="62"/>
      <c r="N20" s="71"/>
      <c r="O20" s="72"/>
      <c r="P20" s="71"/>
      <c r="Q20" s="72"/>
      <c r="R20" s="63"/>
      <c r="S20" s="72"/>
      <c r="T20" s="71"/>
      <c r="U20" s="72"/>
      <c r="V20" s="71"/>
      <c r="W20" s="62"/>
      <c r="X20" s="117"/>
      <c r="Y20" s="173"/>
      <c r="Z20" s="65"/>
    </row>
    <row r="21" ht="15.0" customHeight="1">
      <c r="B21" s="69" t="s">
        <v>842</v>
      </c>
      <c r="C21" s="70"/>
      <c r="L21" s="61"/>
      <c r="M21" s="62"/>
      <c r="N21" s="71"/>
      <c r="O21" s="72"/>
      <c r="P21" s="71"/>
      <c r="Q21" s="72"/>
      <c r="R21" s="63"/>
      <c r="S21" s="72"/>
      <c r="T21" s="71"/>
      <c r="U21" s="72"/>
      <c r="V21" s="71"/>
      <c r="W21" s="62"/>
      <c r="X21" s="117"/>
      <c r="Y21" s="173"/>
      <c r="Z21" s="65"/>
    </row>
    <row r="22" ht="14.25" customHeight="1">
      <c r="B22" s="547"/>
      <c r="C22" s="75"/>
      <c r="L22" s="61"/>
      <c r="M22" s="62"/>
      <c r="N22" s="71"/>
      <c r="O22" s="72"/>
      <c r="P22" s="71"/>
      <c r="Q22" s="72"/>
      <c r="R22" s="63"/>
      <c r="S22" s="72"/>
      <c r="T22" s="71"/>
      <c r="U22" s="72"/>
      <c r="V22" s="71"/>
      <c r="W22" s="62"/>
      <c r="X22" s="117"/>
      <c r="Y22" s="173"/>
      <c r="Z22" s="65"/>
    </row>
    <row r="23" ht="14.25" customHeight="1">
      <c r="B23" s="69" t="s">
        <v>843</v>
      </c>
      <c r="C23" s="77"/>
      <c r="L23" s="61"/>
      <c r="M23" s="62"/>
      <c r="N23" s="603"/>
      <c r="O23" s="604"/>
      <c r="P23" s="603">
        <v>1.0</v>
      </c>
      <c r="Q23" s="604"/>
      <c r="R23" s="63"/>
      <c r="S23" s="604"/>
      <c r="T23" s="603"/>
      <c r="U23" s="604">
        <v>1.0</v>
      </c>
      <c r="V23" s="603"/>
      <c r="W23" s="62"/>
      <c r="X23" s="117"/>
      <c r="Y23" s="173"/>
      <c r="Z23" s="65"/>
    </row>
    <row r="24" ht="14.25" customHeight="1">
      <c r="B24" s="84"/>
      <c r="C24" s="548"/>
      <c r="L24" s="61"/>
      <c r="M24" s="62"/>
      <c r="N24" s="552"/>
      <c r="O24" s="551"/>
      <c r="P24" s="552"/>
      <c r="Q24" s="551"/>
      <c r="R24" s="63"/>
      <c r="S24" s="551"/>
      <c r="T24" s="552"/>
      <c r="U24" s="551"/>
      <c r="V24" s="552"/>
      <c r="W24" s="62"/>
      <c r="X24" s="117"/>
      <c r="Y24" s="173"/>
      <c r="Z24" s="65"/>
    </row>
    <row r="25" ht="14.25" customHeight="1">
      <c r="B25" s="69" t="s">
        <v>844</v>
      </c>
      <c r="C25" s="70"/>
      <c r="L25" s="61"/>
      <c r="M25" s="62"/>
      <c r="N25" s="603"/>
      <c r="O25" s="604"/>
      <c r="P25" s="603"/>
      <c r="Q25" s="604"/>
      <c r="R25" s="63"/>
      <c r="S25" s="604"/>
      <c r="T25" s="603"/>
      <c r="U25" s="604"/>
      <c r="V25" s="603"/>
      <c r="W25" s="62"/>
      <c r="X25" s="117"/>
      <c r="Y25" s="173"/>
      <c r="Z25" s="65"/>
    </row>
    <row r="26" ht="14.25" customHeight="1">
      <c r="B26" s="549" t="s">
        <v>845</v>
      </c>
      <c r="C26" s="70" t="s">
        <v>1196</v>
      </c>
      <c r="L26" s="61"/>
      <c r="M26" s="62"/>
      <c r="N26" s="552"/>
      <c r="O26" s="551"/>
      <c r="P26" s="552"/>
      <c r="Q26" s="551"/>
      <c r="R26" s="63"/>
      <c r="S26" s="551"/>
      <c r="T26" s="552"/>
      <c r="U26" s="551"/>
      <c r="V26" s="552"/>
      <c r="W26" s="62"/>
      <c r="X26" s="117"/>
      <c r="Y26" s="173"/>
      <c r="Z26" s="65"/>
    </row>
    <row r="27" ht="14.25" customHeight="1">
      <c r="B27" s="550" t="s">
        <v>847</v>
      </c>
      <c r="C27" s="70" t="s">
        <v>848</v>
      </c>
      <c r="L27" s="61"/>
      <c r="M27" s="62"/>
      <c r="N27" s="552"/>
      <c r="O27" s="551"/>
      <c r="P27" s="552"/>
      <c r="Q27" s="551"/>
      <c r="R27" s="63"/>
      <c r="S27" s="551"/>
      <c r="T27" s="552"/>
      <c r="U27" s="551"/>
      <c r="V27" s="552"/>
      <c r="W27" s="62"/>
      <c r="X27" s="117"/>
      <c r="Y27" s="173"/>
      <c r="Z27" s="65"/>
    </row>
    <row r="28" ht="14.25" customHeight="1">
      <c r="B28" s="550" t="s">
        <v>849</v>
      </c>
      <c r="C28" s="70" t="s">
        <v>850</v>
      </c>
      <c r="L28" s="61"/>
      <c r="M28" s="62"/>
      <c r="N28" s="552"/>
      <c r="O28" s="551"/>
      <c r="P28" s="552"/>
      <c r="Q28" s="551"/>
      <c r="R28" s="63"/>
      <c r="S28" s="551"/>
      <c r="T28" s="552"/>
      <c r="U28" s="551"/>
      <c r="V28" s="552"/>
      <c r="W28" s="62"/>
      <c r="X28" s="117"/>
      <c r="Y28" s="173"/>
      <c r="Z28" s="65"/>
    </row>
    <row r="29" ht="14.25" customHeight="1">
      <c r="B29" s="550"/>
      <c r="C29" s="70"/>
      <c r="L29" s="61"/>
      <c r="M29" s="62"/>
      <c r="N29" s="552"/>
      <c r="O29" s="551"/>
      <c r="P29" s="552"/>
      <c r="Q29" s="551"/>
      <c r="R29" s="63"/>
      <c r="S29" s="551"/>
      <c r="T29" s="552"/>
      <c r="U29" s="551"/>
      <c r="V29" s="552"/>
      <c r="W29" s="62"/>
      <c r="X29" s="117"/>
      <c r="Y29" s="173"/>
      <c r="Z29" s="65"/>
    </row>
    <row r="30" ht="14.25" customHeight="1">
      <c r="B30" s="550" t="s">
        <v>851</v>
      </c>
      <c r="C30" s="70"/>
      <c r="L30" s="61"/>
      <c r="M30" s="62"/>
      <c r="N30" s="552"/>
      <c r="O30" s="551"/>
      <c r="P30" s="552"/>
      <c r="Q30" s="551"/>
      <c r="R30" s="63"/>
      <c r="S30" s="86"/>
      <c r="T30" s="552"/>
      <c r="U30" s="551"/>
      <c r="V30" s="552"/>
      <c r="W30" s="62"/>
      <c r="X30" s="117"/>
      <c r="Y30" s="173"/>
      <c r="Z30" s="65"/>
    </row>
    <row r="31" ht="14.25" customHeight="1">
      <c r="B31" s="113"/>
      <c r="L31" s="61"/>
      <c r="M31" s="62"/>
      <c r="N31" s="63"/>
      <c r="O31" s="62"/>
      <c r="P31" s="63"/>
      <c r="Q31" s="62"/>
      <c r="R31" s="63"/>
      <c r="S31" s="62"/>
      <c r="T31" s="63"/>
      <c r="U31" s="62"/>
      <c r="V31" s="63"/>
      <c r="W31" s="62"/>
      <c r="X31" s="117"/>
      <c r="Y31" s="173"/>
      <c r="Z31" s="65"/>
    </row>
    <row r="32" ht="14.25" customHeight="1">
      <c r="B32" s="60" t="s">
        <v>852</v>
      </c>
      <c r="L32" s="61"/>
      <c r="M32" s="62"/>
      <c r="N32" s="63"/>
      <c r="O32" s="62"/>
      <c r="P32" s="63"/>
      <c r="Q32" s="62"/>
      <c r="R32" s="63"/>
      <c r="S32" s="62"/>
      <c r="T32" s="63"/>
      <c r="U32" s="62"/>
      <c r="V32" s="63"/>
      <c r="W32" s="62"/>
      <c r="X32" s="117"/>
      <c r="Y32" s="173"/>
      <c r="Z32" s="65"/>
    </row>
    <row r="33" ht="14.25" customHeight="1">
      <c r="B33" s="113"/>
      <c r="L33" s="61"/>
      <c r="M33" s="62"/>
      <c r="N33" s="63"/>
      <c r="O33" s="62"/>
      <c r="P33" s="63"/>
      <c r="Q33" s="62"/>
      <c r="R33" s="63"/>
      <c r="S33" s="62"/>
      <c r="T33" s="63"/>
      <c r="U33" s="62"/>
      <c r="V33" s="63"/>
      <c r="W33" s="62"/>
      <c r="X33" s="117"/>
      <c r="Y33" s="173"/>
      <c r="Z33" s="65"/>
    </row>
    <row r="34" ht="14.25" customHeight="1">
      <c r="B34" s="69" t="s">
        <v>1206</v>
      </c>
      <c r="C34" s="70"/>
      <c r="L34" s="61"/>
      <c r="M34" s="62"/>
      <c r="N34" s="552"/>
      <c r="O34" s="62">
        <v>5.0</v>
      </c>
      <c r="P34" s="552"/>
      <c r="Q34" s="551"/>
      <c r="R34" s="63"/>
      <c r="S34" s="551"/>
      <c r="T34" s="552">
        <v>5.0</v>
      </c>
      <c r="U34" s="551"/>
      <c r="V34" s="552"/>
      <c r="W34" s="62"/>
      <c r="X34" s="117"/>
      <c r="Y34" s="173"/>
      <c r="Z34" s="65"/>
    </row>
    <row r="35" ht="14.25" customHeight="1">
      <c r="B35" s="100"/>
      <c r="C35" s="70"/>
      <c r="L35" s="61"/>
      <c r="M35" s="62"/>
      <c r="N35" s="552"/>
      <c r="O35" s="62"/>
      <c r="P35" s="552"/>
      <c r="Q35" s="551"/>
      <c r="R35" s="63"/>
      <c r="S35" s="551"/>
      <c r="T35" s="552"/>
      <c r="U35" s="551"/>
      <c r="V35" s="552"/>
      <c r="W35" s="62"/>
      <c r="X35" s="117"/>
      <c r="Y35" s="173"/>
      <c r="Z35" s="65"/>
    </row>
    <row r="36" ht="14.25" customHeight="1">
      <c r="B36" s="69" t="s">
        <v>1207</v>
      </c>
      <c r="C36" s="70"/>
      <c r="L36" s="61"/>
      <c r="M36" s="62"/>
      <c r="N36" s="603"/>
      <c r="O36" s="62"/>
      <c r="P36" s="603"/>
      <c r="Q36" s="604"/>
      <c r="R36" s="63"/>
      <c r="S36" s="604"/>
      <c r="T36" s="603"/>
      <c r="U36" s="604"/>
      <c r="V36" s="603"/>
      <c r="W36" s="62"/>
      <c r="X36" s="117"/>
      <c r="Y36" s="173"/>
      <c r="Z36" s="65"/>
    </row>
    <row r="37" ht="14.25" customHeight="1">
      <c r="B37" s="100" t="s">
        <v>845</v>
      </c>
      <c r="C37" s="126" t="s">
        <v>855</v>
      </c>
      <c r="L37" s="61"/>
      <c r="M37" s="62"/>
      <c r="N37" s="552"/>
      <c r="O37" s="62">
        <v>1.0</v>
      </c>
      <c r="P37" s="552"/>
      <c r="Q37" s="551"/>
      <c r="R37" s="63"/>
      <c r="S37" s="551"/>
      <c r="T37" s="552">
        <v>1.0</v>
      </c>
      <c r="U37" s="551"/>
      <c r="V37" s="552"/>
      <c r="W37" s="62"/>
      <c r="X37" s="117"/>
      <c r="Y37" s="173"/>
      <c r="Z37" s="65"/>
    </row>
    <row r="38" ht="14.25" customHeight="1">
      <c r="B38" s="100" t="s">
        <v>847</v>
      </c>
      <c r="C38" s="77" t="s">
        <v>856</v>
      </c>
      <c r="L38" s="61"/>
      <c r="M38" s="62"/>
      <c r="N38" s="552">
        <v>1.0</v>
      </c>
      <c r="O38" s="62"/>
      <c r="P38" s="552">
        <v>2.0</v>
      </c>
      <c r="Q38" s="551"/>
      <c r="R38" s="63"/>
      <c r="S38" s="551">
        <v>1.0</v>
      </c>
      <c r="T38" s="552"/>
      <c r="U38" s="551">
        <v>2.0</v>
      </c>
      <c r="V38" s="552">
        <v>1.0</v>
      </c>
      <c r="W38" s="62"/>
      <c r="X38" s="117"/>
      <c r="Y38" s="173"/>
      <c r="Z38" s="65"/>
    </row>
    <row r="39" ht="14.25" customHeight="1">
      <c r="B39" s="100" t="s">
        <v>849</v>
      </c>
      <c r="C39" s="77" t="s">
        <v>857</v>
      </c>
      <c r="L39" s="61"/>
      <c r="M39" s="62"/>
      <c r="N39" s="552"/>
      <c r="O39" s="62"/>
      <c r="P39" s="552"/>
      <c r="Q39" s="551"/>
      <c r="R39" s="63"/>
      <c r="S39" s="551"/>
      <c r="T39" s="552"/>
      <c r="U39" s="551"/>
      <c r="V39" s="552"/>
      <c r="W39" s="62"/>
      <c r="X39" s="117"/>
      <c r="Y39" s="173"/>
      <c r="Z39" s="65"/>
    </row>
    <row r="40" ht="14.25" customHeight="1">
      <c r="B40" s="100" t="s">
        <v>858</v>
      </c>
      <c r="C40" s="126" t="s">
        <v>859</v>
      </c>
      <c r="L40" s="61"/>
      <c r="M40" s="62"/>
      <c r="N40" s="552"/>
      <c r="O40" s="62"/>
      <c r="P40" s="552"/>
      <c r="Q40" s="551"/>
      <c r="R40" s="63"/>
      <c r="S40" s="551"/>
      <c r="T40" s="552"/>
      <c r="U40" s="551"/>
      <c r="V40" s="552"/>
      <c r="W40" s="62"/>
      <c r="X40" s="117"/>
      <c r="Y40" s="173"/>
      <c r="Z40" s="65"/>
    </row>
    <row r="41" ht="14.25" customHeight="1">
      <c r="B41" s="100" t="s">
        <v>860</v>
      </c>
      <c r="C41" s="126" t="s">
        <v>861</v>
      </c>
      <c r="L41" s="61"/>
      <c r="M41" s="62"/>
      <c r="N41" s="552"/>
      <c r="O41" s="62"/>
      <c r="P41" s="552">
        <v>7.0</v>
      </c>
      <c r="Q41" s="551"/>
      <c r="R41" s="63"/>
      <c r="S41" s="551"/>
      <c r="T41" s="552"/>
      <c r="U41" s="551">
        <v>7.0</v>
      </c>
      <c r="V41" s="552"/>
      <c r="W41" s="62"/>
      <c r="X41" s="117"/>
      <c r="Y41" s="173"/>
      <c r="Z41" s="65"/>
    </row>
    <row r="42" ht="14.25" customHeight="1">
      <c r="B42" s="113"/>
      <c r="L42" s="61"/>
      <c r="M42" s="62"/>
      <c r="N42" s="63"/>
      <c r="O42" s="62"/>
      <c r="P42" s="63"/>
      <c r="Q42" s="62"/>
      <c r="R42" s="63"/>
      <c r="S42" s="62"/>
      <c r="T42" s="63"/>
      <c r="U42" s="62"/>
      <c r="V42" s="63"/>
      <c r="W42" s="62"/>
      <c r="X42" s="117"/>
      <c r="Y42" s="173"/>
      <c r="Z42" s="65"/>
    </row>
    <row r="43" ht="14.25" customHeight="1">
      <c r="B43" s="60" t="s">
        <v>1185</v>
      </c>
      <c r="L43" s="61"/>
      <c r="M43" s="62"/>
      <c r="N43" s="63"/>
      <c r="O43" s="62"/>
      <c r="P43" s="63"/>
      <c r="Q43" s="62"/>
      <c r="R43" s="63"/>
      <c r="S43" s="62"/>
      <c r="T43" s="63"/>
      <c r="U43" s="62"/>
      <c r="V43" s="63"/>
      <c r="W43" s="62"/>
      <c r="X43" s="117"/>
      <c r="Y43" s="173"/>
      <c r="Z43" s="65"/>
    </row>
    <row r="44" ht="14.25" customHeight="1">
      <c r="B44" s="113"/>
      <c r="L44" s="61"/>
      <c r="M44" s="62"/>
      <c r="N44" s="63"/>
      <c r="O44" s="62"/>
      <c r="P44" s="63"/>
      <c r="Q44" s="62"/>
      <c r="R44" s="63"/>
      <c r="S44" s="62"/>
      <c r="T44" s="63"/>
      <c r="U44" s="62"/>
      <c r="V44" s="63"/>
      <c r="W44" s="62"/>
      <c r="X44" s="117"/>
      <c r="Y44" s="173"/>
      <c r="Z44" s="65"/>
    </row>
    <row r="45" ht="14.25" customHeight="1">
      <c r="B45" s="148" t="s">
        <v>864</v>
      </c>
      <c r="C45" s="144" t="s">
        <v>865</v>
      </c>
      <c r="D45" s="143"/>
      <c r="E45" s="143"/>
      <c r="L45" s="61"/>
      <c r="M45" s="62"/>
      <c r="N45" s="63"/>
      <c r="O45" s="62"/>
      <c r="P45" s="63"/>
      <c r="Q45" s="62"/>
      <c r="R45" s="76"/>
      <c r="S45" s="581"/>
      <c r="T45" s="606"/>
      <c r="U45" s="581"/>
      <c r="V45" s="606"/>
      <c r="W45" s="62"/>
      <c r="X45" s="117"/>
      <c r="Y45" s="173"/>
      <c r="Z45" s="65"/>
    </row>
    <row r="46" ht="14.25" customHeight="1">
      <c r="B46" s="148"/>
      <c r="C46" s="214" t="s">
        <v>866</v>
      </c>
      <c r="D46" s="144" t="s">
        <v>867</v>
      </c>
      <c r="E46" s="144"/>
      <c r="L46" s="61"/>
      <c r="M46" s="62"/>
      <c r="N46" s="63"/>
      <c r="O46" s="62"/>
      <c r="P46" s="63"/>
      <c r="Q46" s="62"/>
      <c r="R46" s="40"/>
      <c r="S46" s="581">
        <v>89.0</v>
      </c>
      <c r="T46" s="606">
        <v>118.0</v>
      </c>
      <c r="U46" s="581">
        <v>99.0</v>
      </c>
      <c r="V46" s="606">
        <v>95.0</v>
      </c>
      <c r="W46" s="62"/>
      <c r="X46" s="117"/>
      <c r="Y46" s="173"/>
      <c r="Z46" s="65"/>
    </row>
    <row r="47" ht="14.25" customHeight="1">
      <c r="B47" s="148"/>
      <c r="C47" s="70"/>
      <c r="D47" s="77" t="s">
        <v>868</v>
      </c>
      <c r="E47" s="70"/>
      <c r="L47" s="61"/>
      <c r="M47" s="62"/>
      <c r="N47" s="63"/>
      <c r="O47" s="62"/>
      <c r="P47" s="63"/>
      <c r="Q47" s="62"/>
      <c r="R47" s="40"/>
      <c r="S47" s="62">
        <v>9.0</v>
      </c>
      <c r="T47" s="63">
        <v>6.0</v>
      </c>
      <c r="U47" s="62">
        <v>4.0</v>
      </c>
      <c r="V47" s="63">
        <v>3.0</v>
      </c>
      <c r="W47" s="62"/>
      <c r="X47" s="117"/>
      <c r="Y47" s="173"/>
      <c r="Z47" s="65"/>
    </row>
    <row r="48" ht="14.25" customHeight="1">
      <c r="B48" s="148"/>
      <c r="C48" s="70"/>
      <c r="D48" s="77" t="s">
        <v>869</v>
      </c>
      <c r="E48" s="70"/>
      <c r="L48" s="61"/>
      <c r="M48" s="62"/>
      <c r="N48" s="63"/>
      <c r="O48" s="62"/>
      <c r="P48" s="63"/>
      <c r="Q48" s="62"/>
      <c r="R48" s="40"/>
      <c r="S48" s="62">
        <v>6.0</v>
      </c>
      <c r="T48" s="63">
        <v>9.0</v>
      </c>
      <c r="U48" s="62">
        <v>12.0</v>
      </c>
      <c r="V48" s="63">
        <v>4.0</v>
      </c>
      <c r="W48" s="62"/>
      <c r="X48" s="117"/>
      <c r="Y48" s="173"/>
      <c r="Z48" s="65"/>
    </row>
    <row r="49" ht="14.25" customHeight="1">
      <c r="B49" s="148"/>
      <c r="C49" s="70"/>
      <c r="D49" s="77" t="s">
        <v>870</v>
      </c>
      <c r="E49" s="70"/>
      <c r="L49" s="61"/>
      <c r="M49" s="62"/>
      <c r="N49" s="63"/>
      <c r="O49" s="62"/>
      <c r="P49" s="63"/>
      <c r="Q49" s="62"/>
      <c r="R49" s="40"/>
      <c r="S49" s="62">
        <v>14.0</v>
      </c>
      <c r="T49" s="63">
        <v>29.0</v>
      </c>
      <c r="U49" s="62">
        <v>25.0</v>
      </c>
      <c r="V49" s="63">
        <v>11.0</v>
      </c>
      <c r="W49" s="62"/>
      <c r="X49" s="117"/>
      <c r="Y49" s="173"/>
      <c r="Z49" s="65"/>
    </row>
    <row r="50" ht="14.25" customHeight="1">
      <c r="B50" s="148"/>
      <c r="C50" s="70"/>
      <c r="D50" s="77" t="s">
        <v>871</v>
      </c>
      <c r="E50" s="70"/>
      <c r="L50" s="61"/>
      <c r="M50" s="62"/>
      <c r="N50" s="63"/>
      <c r="O50" s="62"/>
      <c r="P50" s="63"/>
      <c r="Q50" s="62"/>
      <c r="R50" s="40"/>
      <c r="S50" s="62">
        <v>40.0</v>
      </c>
      <c r="T50" s="63">
        <v>38.0</v>
      </c>
      <c r="U50" s="62">
        <v>33.0</v>
      </c>
      <c r="V50" s="63">
        <v>33.0</v>
      </c>
      <c r="W50" s="62"/>
      <c r="X50" s="117"/>
      <c r="Y50" s="173"/>
      <c r="Z50" s="65"/>
    </row>
    <row r="51" ht="14.25" customHeight="1">
      <c r="B51" s="148"/>
      <c r="C51" s="70"/>
      <c r="D51" s="77" t="s">
        <v>872</v>
      </c>
      <c r="E51" s="70"/>
      <c r="L51" s="61"/>
      <c r="M51" s="62"/>
      <c r="N51" s="63"/>
      <c r="O51" s="62"/>
      <c r="P51" s="63"/>
      <c r="Q51" s="62"/>
      <c r="R51" s="40"/>
      <c r="S51" s="62">
        <v>16.0</v>
      </c>
      <c r="T51" s="63">
        <v>36.0</v>
      </c>
      <c r="U51" s="62">
        <v>25.0</v>
      </c>
      <c r="V51" s="63">
        <v>26.0</v>
      </c>
      <c r="W51" s="62"/>
      <c r="X51" s="117"/>
      <c r="Y51" s="173"/>
      <c r="Z51" s="65"/>
    </row>
    <row r="52" ht="14.25" customHeight="1">
      <c r="B52" s="148"/>
      <c r="C52" s="70"/>
      <c r="D52" s="77" t="s">
        <v>873</v>
      </c>
      <c r="E52" s="70"/>
      <c r="L52" s="61"/>
      <c r="M52" s="62"/>
      <c r="N52" s="63"/>
      <c r="O52" s="62"/>
      <c r="P52" s="63"/>
      <c r="Q52" s="62"/>
      <c r="R52" s="40"/>
      <c r="S52" s="62">
        <v>4.0</v>
      </c>
      <c r="T52" s="63">
        <v>0.0</v>
      </c>
      <c r="U52" s="62">
        <v>0.0</v>
      </c>
      <c r="V52" s="63">
        <v>18.0</v>
      </c>
      <c r="W52" s="62"/>
      <c r="X52" s="117"/>
      <c r="Y52" s="173"/>
      <c r="Z52" s="65"/>
    </row>
    <row r="53" ht="14.25" customHeight="1">
      <c r="B53" s="148"/>
      <c r="C53" s="144"/>
      <c r="D53" s="144" t="s">
        <v>874</v>
      </c>
      <c r="L53" s="61"/>
      <c r="M53" s="62"/>
      <c r="N53" s="63"/>
      <c r="O53" s="62"/>
      <c r="P53" s="63"/>
      <c r="Q53" s="62"/>
      <c r="R53" s="40"/>
      <c r="S53" s="62">
        <v>12.0</v>
      </c>
      <c r="T53" s="63">
        <v>23.0</v>
      </c>
      <c r="U53" s="62">
        <v>18.0</v>
      </c>
      <c r="V53" s="63">
        <v>5.0</v>
      </c>
      <c r="W53" s="62"/>
      <c r="X53" s="117"/>
      <c r="Y53" s="173"/>
      <c r="Z53" s="65"/>
    </row>
    <row r="54" ht="14.25" customHeight="1">
      <c r="B54" s="148"/>
      <c r="C54" s="144"/>
      <c r="D54" s="144" t="s">
        <v>875</v>
      </c>
      <c r="L54" s="61"/>
      <c r="M54" s="62"/>
      <c r="N54" s="63"/>
      <c r="O54" s="62"/>
      <c r="P54" s="63"/>
      <c r="Q54" s="62"/>
      <c r="R54" s="40"/>
      <c r="S54" s="62">
        <v>22.0</v>
      </c>
      <c r="T54" s="63">
        <v>22.0</v>
      </c>
      <c r="U54" s="62">
        <v>24.0</v>
      </c>
      <c r="V54" s="63">
        <v>11.0</v>
      </c>
      <c r="W54" s="62"/>
      <c r="X54" s="117"/>
      <c r="Y54" s="173"/>
      <c r="Z54" s="65"/>
    </row>
    <row r="55" ht="14.25" customHeight="1">
      <c r="B55" s="148" t="s">
        <v>403</v>
      </c>
      <c r="C55" s="144"/>
      <c r="D55" s="144" t="s">
        <v>876</v>
      </c>
      <c r="L55" s="61"/>
      <c r="M55" s="62"/>
      <c r="N55" s="63"/>
      <c r="O55" s="62"/>
      <c r="P55" s="63"/>
      <c r="Q55" s="62"/>
      <c r="R55" s="40"/>
      <c r="S55" s="62">
        <v>0.0</v>
      </c>
      <c r="T55" s="63">
        <v>1.0</v>
      </c>
      <c r="U55" s="62">
        <v>0.0</v>
      </c>
      <c r="V55" s="63">
        <v>2.0</v>
      </c>
      <c r="W55" s="62"/>
      <c r="X55" s="117"/>
      <c r="Y55" s="173"/>
      <c r="Z55" s="65"/>
    </row>
    <row r="56" ht="14.25" customHeight="1">
      <c r="B56" s="148" t="s">
        <v>403</v>
      </c>
      <c r="C56" s="144"/>
      <c r="D56" s="144" t="s">
        <v>877</v>
      </c>
      <c r="L56" s="61"/>
      <c r="M56" s="62"/>
      <c r="N56" s="63"/>
      <c r="O56" s="62"/>
      <c r="P56" s="63"/>
      <c r="Q56" s="62"/>
      <c r="R56" s="40"/>
      <c r="S56" s="581">
        <v>27.0</v>
      </c>
      <c r="T56" s="606">
        <v>51.0</v>
      </c>
      <c r="U56" s="581">
        <v>36.0</v>
      </c>
      <c r="V56" s="606">
        <v>42.0</v>
      </c>
      <c r="W56" s="62"/>
      <c r="X56" s="117"/>
      <c r="Y56" s="173"/>
      <c r="Z56" s="65"/>
    </row>
    <row r="57" ht="14.25" customHeight="1">
      <c r="B57" s="148"/>
      <c r="C57" s="144"/>
      <c r="D57" s="154" t="s">
        <v>878</v>
      </c>
      <c r="L57" s="61"/>
      <c r="M57" s="62"/>
      <c r="N57" s="63"/>
      <c r="O57" s="62"/>
      <c r="P57" s="63"/>
      <c r="Q57" s="62"/>
      <c r="R57" s="40"/>
      <c r="S57" s="62">
        <v>16.0</v>
      </c>
      <c r="T57" s="63">
        <v>33.0</v>
      </c>
      <c r="U57" s="62">
        <v>29.0</v>
      </c>
      <c r="V57" s="63">
        <v>27.0</v>
      </c>
      <c r="W57" s="62"/>
      <c r="X57" s="117"/>
      <c r="Y57" s="173"/>
      <c r="Z57" s="65"/>
    </row>
    <row r="58" ht="14.25" customHeight="1">
      <c r="B58" s="148"/>
      <c r="C58" s="144"/>
      <c r="D58" s="154" t="s">
        <v>879</v>
      </c>
      <c r="L58" s="61"/>
      <c r="M58" s="62"/>
      <c r="N58" s="63"/>
      <c r="O58" s="62"/>
      <c r="P58" s="63"/>
      <c r="Q58" s="62"/>
      <c r="R58" s="40"/>
      <c r="S58" s="62">
        <v>7.0</v>
      </c>
      <c r="T58" s="63">
        <v>17.0</v>
      </c>
      <c r="U58" s="62">
        <v>5.0</v>
      </c>
      <c r="V58" s="63">
        <v>13.0</v>
      </c>
      <c r="W58" s="62"/>
      <c r="X58" s="117"/>
      <c r="Y58" s="173"/>
      <c r="Z58" s="65"/>
    </row>
    <row r="59" ht="14.25" customHeight="1">
      <c r="B59" s="148"/>
      <c r="C59" s="144"/>
      <c r="D59" s="154" t="s">
        <v>880</v>
      </c>
      <c r="L59" s="61"/>
      <c r="M59" s="62"/>
      <c r="N59" s="63"/>
      <c r="O59" s="62"/>
      <c r="P59" s="63"/>
      <c r="Q59" s="62"/>
      <c r="R59" s="40"/>
      <c r="S59" s="62">
        <v>4.0</v>
      </c>
      <c r="T59" s="63">
        <v>1.0</v>
      </c>
      <c r="U59" s="62">
        <v>2.0</v>
      </c>
      <c r="V59" s="63">
        <v>2.0</v>
      </c>
      <c r="W59" s="62"/>
      <c r="X59" s="117"/>
      <c r="Y59" s="173"/>
      <c r="Z59" s="65"/>
    </row>
    <row r="60" ht="14.25" customHeight="1">
      <c r="B60" s="148"/>
      <c r="C60" s="144"/>
      <c r="D60" s="144" t="s">
        <v>881</v>
      </c>
      <c r="L60" s="61"/>
      <c r="M60" s="62"/>
      <c r="N60" s="63"/>
      <c r="O60" s="62"/>
      <c r="P60" s="63"/>
      <c r="Q60" s="62"/>
      <c r="R60" s="40"/>
      <c r="S60" s="62"/>
      <c r="T60" s="63"/>
      <c r="U60" s="62"/>
      <c r="V60" s="63"/>
      <c r="W60" s="62"/>
      <c r="X60" s="117"/>
      <c r="Y60" s="173"/>
      <c r="Z60" s="65"/>
    </row>
    <row r="61" ht="14.25" customHeight="1">
      <c r="B61" s="148"/>
      <c r="C61" s="144"/>
      <c r="D61" s="154" t="s">
        <v>882</v>
      </c>
      <c r="L61" s="61"/>
      <c r="M61" s="62"/>
      <c r="N61" s="63"/>
      <c r="O61" s="62"/>
      <c r="P61" s="63"/>
      <c r="Q61" s="62"/>
      <c r="R61" s="40"/>
      <c r="S61" s="62"/>
      <c r="T61" s="63"/>
      <c r="U61" s="62"/>
      <c r="V61" s="63"/>
      <c r="W61" s="62"/>
      <c r="X61" s="117"/>
      <c r="Y61" s="173"/>
      <c r="Z61" s="65"/>
    </row>
    <row r="62" ht="14.25" customHeight="1">
      <c r="B62" s="148"/>
      <c r="C62" s="144"/>
      <c r="D62" s="154" t="s">
        <v>883</v>
      </c>
      <c r="L62" s="61"/>
      <c r="M62" s="62"/>
      <c r="N62" s="63"/>
      <c r="O62" s="62"/>
      <c r="P62" s="63"/>
      <c r="Q62" s="62"/>
      <c r="R62" s="40"/>
      <c r="S62" s="62"/>
      <c r="T62" s="63"/>
      <c r="U62" s="62"/>
      <c r="V62" s="63"/>
      <c r="W62" s="62"/>
      <c r="X62" s="117"/>
      <c r="Y62" s="173"/>
      <c r="Z62" s="65"/>
    </row>
    <row r="63" ht="14.25" customHeight="1">
      <c r="B63" s="148"/>
      <c r="C63" s="144"/>
      <c r="D63" s="154" t="s">
        <v>884</v>
      </c>
      <c r="L63" s="61"/>
      <c r="M63" s="62"/>
      <c r="N63" s="63"/>
      <c r="O63" s="62"/>
      <c r="P63" s="63"/>
      <c r="Q63" s="62"/>
      <c r="R63" s="40"/>
      <c r="S63" s="62"/>
      <c r="T63" s="63"/>
      <c r="U63" s="62"/>
      <c r="V63" s="63"/>
      <c r="W63" s="62"/>
      <c r="X63" s="117"/>
      <c r="Y63" s="173"/>
      <c r="Z63" s="65"/>
    </row>
    <row r="64" ht="14.25" customHeight="1">
      <c r="B64" s="148"/>
      <c r="C64" s="144"/>
      <c r="D64" s="154" t="s">
        <v>885</v>
      </c>
      <c r="L64" s="61"/>
      <c r="M64" s="62"/>
      <c r="N64" s="63"/>
      <c r="O64" s="62"/>
      <c r="P64" s="63"/>
      <c r="Q64" s="62"/>
      <c r="R64" s="40"/>
      <c r="S64" s="62"/>
      <c r="T64" s="63"/>
      <c r="U64" s="62"/>
      <c r="V64" s="63"/>
      <c r="W64" s="62"/>
      <c r="X64" s="117"/>
      <c r="Y64" s="173"/>
      <c r="Z64" s="65"/>
    </row>
    <row r="65" ht="14.25" customHeight="1">
      <c r="B65" s="148"/>
      <c r="C65" s="144"/>
      <c r="D65" s="154" t="s">
        <v>886</v>
      </c>
      <c r="L65" s="61"/>
      <c r="M65" s="62"/>
      <c r="N65" s="63"/>
      <c r="O65" s="62"/>
      <c r="P65" s="63"/>
      <c r="Q65" s="62"/>
      <c r="R65" s="40"/>
      <c r="S65" s="62"/>
      <c r="T65" s="63"/>
      <c r="U65" s="62"/>
      <c r="V65" s="63"/>
      <c r="W65" s="62"/>
      <c r="X65" s="117"/>
      <c r="Y65" s="173"/>
      <c r="Z65" s="65"/>
    </row>
    <row r="66" ht="14.25" customHeight="1">
      <c r="B66" s="148"/>
      <c r="C66" s="144"/>
      <c r="D66" s="144" t="s">
        <v>887</v>
      </c>
      <c r="L66" s="61"/>
      <c r="M66" s="62"/>
      <c r="N66" s="63"/>
      <c r="O66" s="62"/>
      <c r="P66" s="63"/>
      <c r="Q66" s="62"/>
      <c r="R66" s="40"/>
      <c r="S66" s="62">
        <v>9.0</v>
      </c>
      <c r="T66" s="63">
        <v>8.0</v>
      </c>
      <c r="U66" s="62">
        <v>10.0</v>
      </c>
      <c r="V66" s="63">
        <v>4.0</v>
      </c>
      <c r="W66" s="62"/>
      <c r="X66" s="117"/>
      <c r="Y66" s="173"/>
      <c r="Z66" s="65"/>
    </row>
    <row r="67" ht="14.25" customHeight="1">
      <c r="B67" s="148"/>
      <c r="C67" s="144"/>
      <c r="D67" s="144" t="s">
        <v>888</v>
      </c>
      <c r="L67" s="61"/>
      <c r="M67" s="62"/>
      <c r="N67" s="63"/>
      <c r="O67" s="62"/>
      <c r="P67" s="63"/>
      <c r="Q67" s="62"/>
      <c r="R67" s="40"/>
      <c r="S67" s="62"/>
      <c r="T67" s="63"/>
      <c r="U67" s="62"/>
      <c r="V67" s="63"/>
      <c r="W67" s="62"/>
      <c r="X67" s="117"/>
      <c r="Y67" s="173"/>
      <c r="Z67" s="65"/>
    </row>
    <row r="68" ht="14.25" customHeight="1">
      <c r="B68" s="148"/>
      <c r="C68" s="144"/>
      <c r="D68" s="154" t="s">
        <v>889</v>
      </c>
      <c r="L68" s="61"/>
      <c r="M68" s="62"/>
      <c r="N68" s="63"/>
      <c r="O68" s="62"/>
      <c r="P68" s="63"/>
      <c r="Q68" s="62"/>
      <c r="R68" s="40"/>
      <c r="S68" s="62"/>
      <c r="T68" s="63"/>
      <c r="U68" s="62"/>
      <c r="V68" s="63"/>
      <c r="W68" s="62"/>
      <c r="X68" s="117"/>
      <c r="Y68" s="173"/>
      <c r="Z68" s="65"/>
    </row>
    <row r="69" ht="14.25" customHeight="1">
      <c r="B69" s="148"/>
      <c r="C69" s="144"/>
      <c r="D69" s="154" t="s">
        <v>890</v>
      </c>
      <c r="L69" s="61"/>
      <c r="M69" s="62"/>
      <c r="N69" s="63"/>
      <c r="O69" s="62"/>
      <c r="P69" s="63"/>
      <c r="Q69" s="62"/>
      <c r="R69" s="40"/>
      <c r="S69" s="62"/>
      <c r="T69" s="63"/>
      <c r="U69" s="62"/>
      <c r="V69" s="63"/>
      <c r="W69" s="62"/>
      <c r="X69" s="117"/>
      <c r="Y69" s="173"/>
      <c r="Z69" s="65"/>
    </row>
    <row r="70" ht="14.25" customHeight="1">
      <c r="B70" s="148"/>
      <c r="C70" s="144"/>
      <c r="D70" s="144" t="s">
        <v>891</v>
      </c>
      <c r="L70" s="61"/>
      <c r="M70" s="62"/>
      <c r="N70" s="63"/>
      <c r="O70" s="62"/>
      <c r="P70" s="63"/>
      <c r="Q70" s="62"/>
      <c r="R70" s="40"/>
      <c r="S70" s="62">
        <v>1.0</v>
      </c>
      <c r="T70" s="63"/>
      <c r="U70" s="62"/>
      <c r="V70" s="63"/>
      <c r="W70" s="62"/>
      <c r="X70" s="117"/>
      <c r="Y70" s="173"/>
      <c r="Z70" s="65"/>
    </row>
    <row r="71" ht="14.25" customHeight="1">
      <c r="B71" s="148"/>
      <c r="C71" s="144"/>
      <c r="D71" s="144" t="s">
        <v>892</v>
      </c>
      <c r="L71" s="61"/>
      <c r="M71" s="62"/>
      <c r="N71" s="63"/>
      <c r="O71" s="62"/>
      <c r="P71" s="63"/>
      <c r="Q71" s="62"/>
      <c r="R71" s="40"/>
      <c r="S71" s="62">
        <v>11.0</v>
      </c>
      <c r="T71" s="63">
        <v>11.0</v>
      </c>
      <c r="U71" s="62">
        <v>11.0</v>
      </c>
      <c r="V71" s="63">
        <v>29.0</v>
      </c>
      <c r="W71" s="62"/>
      <c r="X71" s="117"/>
      <c r="Y71" s="173"/>
      <c r="Z71" s="65"/>
    </row>
    <row r="72" ht="14.25" customHeight="1">
      <c r="B72" s="148"/>
      <c r="C72" s="144"/>
      <c r="D72" s="144" t="s">
        <v>893</v>
      </c>
      <c r="L72" s="61"/>
      <c r="M72" s="62"/>
      <c r="N72" s="63"/>
      <c r="O72" s="62"/>
      <c r="P72" s="63"/>
      <c r="Q72" s="62"/>
      <c r="R72" s="40"/>
      <c r="S72" s="62">
        <v>7.0</v>
      </c>
      <c r="T72" s="63"/>
      <c r="U72" s="62"/>
      <c r="V72" s="63"/>
      <c r="W72" s="62"/>
      <c r="X72" s="117"/>
      <c r="Y72" s="173"/>
      <c r="Z72" s="65"/>
    </row>
    <row r="73" ht="14.25" customHeight="1">
      <c r="B73" s="148"/>
      <c r="C73" s="144"/>
      <c r="D73" s="183" t="s">
        <v>894</v>
      </c>
      <c r="E73" s="144"/>
      <c r="L73" s="61"/>
      <c r="M73" s="62"/>
      <c r="N73" s="63"/>
      <c r="O73" s="62"/>
      <c r="P73" s="63"/>
      <c r="Q73" s="62"/>
      <c r="R73" s="40"/>
      <c r="S73" s="62"/>
      <c r="T73" s="63"/>
      <c r="U73" s="62"/>
      <c r="V73" s="63"/>
      <c r="W73" s="62"/>
      <c r="X73" s="117"/>
      <c r="Y73" s="173"/>
      <c r="Z73" s="65"/>
    </row>
    <row r="74" ht="14.25" customHeight="1">
      <c r="B74" s="148"/>
      <c r="C74" s="144"/>
      <c r="D74" s="183" t="s">
        <v>895</v>
      </c>
      <c r="E74" s="144"/>
      <c r="L74" s="61"/>
      <c r="M74" s="62"/>
      <c r="N74" s="63"/>
      <c r="O74" s="62"/>
      <c r="P74" s="63"/>
      <c r="Q74" s="62"/>
      <c r="R74" s="40"/>
      <c r="S74" s="62"/>
      <c r="T74" s="63"/>
      <c r="U74" s="62"/>
      <c r="V74" s="63"/>
      <c r="W74" s="62"/>
      <c r="X74" s="117"/>
      <c r="Y74" s="173"/>
      <c r="Z74" s="65"/>
    </row>
    <row r="75" ht="14.25" customHeight="1">
      <c r="B75" s="148"/>
      <c r="C75" s="144"/>
      <c r="D75" s="183" t="s">
        <v>896</v>
      </c>
      <c r="E75" s="144"/>
      <c r="L75" s="61"/>
      <c r="M75" s="62"/>
      <c r="N75" s="63"/>
      <c r="O75" s="62"/>
      <c r="P75" s="63"/>
      <c r="Q75" s="62"/>
      <c r="R75" s="40"/>
      <c r="S75" s="62">
        <v>7.0</v>
      </c>
      <c r="T75" s="63"/>
      <c r="U75" s="62"/>
      <c r="V75" s="63"/>
      <c r="W75" s="62"/>
      <c r="X75" s="117"/>
      <c r="Y75" s="173"/>
      <c r="Z75" s="65"/>
    </row>
    <row r="76" ht="14.25" customHeight="1">
      <c r="B76" s="148"/>
      <c r="C76" s="144"/>
      <c r="D76" s="144" t="s">
        <v>897</v>
      </c>
      <c r="L76" s="61"/>
      <c r="M76" s="62"/>
      <c r="N76" s="63"/>
      <c r="O76" s="62"/>
      <c r="P76" s="63"/>
      <c r="Q76" s="62"/>
      <c r="R76" s="40"/>
      <c r="S76" s="62"/>
      <c r="T76" s="63"/>
      <c r="U76" s="62"/>
      <c r="V76" s="63"/>
      <c r="W76" s="62"/>
      <c r="X76" s="117"/>
      <c r="Y76" s="173"/>
      <c r="Z76" s="65"/>
    </row>
    <row r="77" ht="14.25" customHeight="1">
      <c r="B77" s="148"/>
      <c r="C77" s="144"/>
      <c r="D77" s="144" t="s">
        <v>898</v>
      </c>
      <c r="L77" s="61"/>
      <c r="M77" s="62"/>
      <c r="N77" s="63"/>
      <c r="O77" s="62"/>
      <c r="P77" s="63"/>
      <c r="Q77" s="62"/>
      <c r="R77" s="40"/>
      <c r="S77" s="62"/>
      <c r="T77" s="63"/>
      <c r="U77" s="62"/>
      <c r="V77" s="63"/>
      <c r="W77" s="62"/>
      <c r="X77" s="117"/>
      <c r="Y77" s="173"/>
      <c r="Z77" s="65"/>
    </row>
    <row r="78" ht="14.25" customHeight="1">
      <c r="B78" s="148"/>
      <c r="C78" s="144"/>
      <c r="D78" s="144" t="s">
        <v>899</v>
      </c>
      <c r="L78" s="61"/>
      <c r="M78" s="62"/>
      <c r="N78" s="63"/>
      <c r="O78" s="62"/>
      <c r="P78" s="63"/>
      <c r="Q78" s="62"/>
      <c r="R78" s="40"/>
      <c r="S78" s="62"/>
      <c r="T78" s="63"/>
      <c r="U78" s="62"/>
      <c r="V78" s="63">
        <v>1.0</v>
      </c>
      <c r="W78" s="62"/>
      <c r="X78" s="117"/>
      <c r="Y78" s="173"/>
      <c r="Z78" s="65"/>
    </row>
    <row r="79" ht="14.25" customHeight="1">
      <c r="B79" s="148"/>
      <c r="C79" s="144"/>
      <c r="D79" s="144" t="s">
        <v>900</v>
      </c>
      <c r="L79" s="61"/>
      <c r="M79" s="62"/>
      <c r="N79" s="63"/>
      <c r="O79" s="62"/>
      <c r="P79" s="63"/>
      <c r="Q79" s="62"/>
      <c r="R79" s="40"/>
      <c r="S79" s="62">
        <v>1.0</v>
      </c>
      <c r="T79" s="63">
        <v>2.0</v>
      </c>
      <c r="U79" s="62"/>
      <c r="V79" s="63">
        <v>1.0</v>
      </c>
      <c r="W79" s="62"/>
      <c r="X79" s="117"/>
      <c r="Y79" s="173"/>
      <c r="Z79" s="65"/>
    </row>
    <row r="80" ht="14.25" customHeight="1">
      <c r="B80" s="148"/>
      <c r="C80" s="70"/>
      <c r="D80" s="154" t="s">
        <v>901</v>
      </c>
      <c r="L80" s="61"/>
      <c r="M80" s="62"/>
      <c r="N80" s="63"/>
      <c r="O80" s="62"/>
      <c r="P80" s="63"/>
      <c r="Q80" s="62"/>
      <c r="R80" s="40"/>
      <c r="S80" s="62"/>
      <c r="T80" s="63">
        <v>2.0</v>
      </c>
      <c r="U80" s="62"/>
      <c r="V80" s="63"/>
      <c r="W80" s="62"/>
      <c r="X80" s="117"/>
      <c r="Y80" s="173"/>
      <c r="Z80" s="65"/>
    </row>
    <row r="81" ht="14.25" customHeight="1">
      <c r="B81" s="148"/>
      <c r="C81" s="70"/>
      <c r="D81" s="154" t="s">
        <v>902</v>
      </c>
      <c r="L81" s="61"/>
      <c r="M81" s="62"/>
      <c r="N81" s="63"/>
      <c r="O81" s="62"/>
      <c r="P81" s="63"/>
      <c r="Q81" s="62"/>
      <c r="R81" s="40"/>
      <c r="S81" s="62"/>
      <c r="T81" s="63"/>
      <c r="U81" s="62"/>
      <c r="V81" s="63"/>
      <c r="W81" s="62"/>
      <c r="X81" s="117"/>
      <c r="Y81" s="173"/>
      <c r="Z81" s="65"/>
    </row>
    <row r="82" ht="14.25" customHeight="1">
      <c r="B82" s="148"/>
      <c r="C82" s="70"/>
      <c r="D82" s="154" t="s">
        <v>903</v>
      </c>
      <c r="L82" s="61"/>
      <c r="M82" s="62"/>
      <c r="N82" s="63"/>
      <c r="O82" s="62"/>
      <c r="P82" s="63"/>
      <c r="Q82" s="62"/>
      <c r="R82" s="40"/>
      <c r="S82" s="62"/>
      <c r="T82" s="63"/>
      <c r="U82" s="62"/>
      <c r="V82" s="63"/>
      <c r="W82" s="62"/>
      <c r="X82" s="117"/>
      <c r="Y82" s="173"/>
      <c r="Z82" s="65"/>
    </row>
    <row r="83" ht="14.25" customHeight="1">
      <c r="B83" s="148"/>
      <c r="C83" s="70"/>
      <c r="D83" s="154" t="s">
        <v>904</v>
      </c>
      <c r="L83" s="61"/>
      <c r="M83" s="62"/>
      <c r="N83" s="63"/>
      <c r="O83" s="62"/>
      <c r="P83" s="63"/>
      <c r="Q83" s="62"/>
      <c r="R83" s="40"/>
      <c r="S83" s="62"/>
      <c r="T83" s="63"/>
      <c r="U83" s="62"/>
      <c r="V83" s="63">
        <v>1.0</v>
      </c>
      <c r="W83" s="62"/>
      <c r="X83" s="117"/>
      <c r="Y83" s="173"/>
      <c r="Z83" s="65"/>
    </row>
    <row r="84" ht="14.25" customHeight="1">
      <c r="B84" s="148"/>
      <c r="C84" s="70"/>
      <c r="D84" s="154" t="s">
        <v>905</v>
      </c>
      <c r="L84" s="61"/>
      <c r="M84" s="62"/>
      <c r="N84" s="63"/>
      <c r="O84" s="62"/>
      <c r="P84" s="63"/>
      <c r="Q84" s="62"/>
      <c r="R84" s="90"/>
      <c r="S84" s="62">
        <v>1.0</v>
      </c>
      <c r="T84" s="63"/>
      <c r="U84" s="62"/>
      <c r="V84" s="63"/>
      <c r="W84" s="62"/>
      <c r="X84" s="117"/>
      <c r="Y84" s="173"/>
      <c r="Z84" s="65"/>
    </row>
    <row r="85" ht="15.0" customHeight="1">
      <c r="B85" s="148"/>
      <c r="C85" s="214" t="s">
        <v>906</v>
      </c>
      <c r="D85" s="168" t="s">
        <v>907</v>
      </c>
      <c r="E85" s="168"/>
      <c r="L85" s="61"/>
      <c r="M85" s="62"/>
      <c r="N85" s="63"/>
      <c r="O85" s="62"/>
      <c r="P85" s="63"/>
      <c r="Q85" s="62"/>
      <c r="R85" s="63"/>
      <c r="S85" s="62">
        <v>122.0</v>
      </c>
      <c r="T85" s="63">
        <v>182.0</v>
      </c>
      <c r="U85" s="62">
        <v>161.0</v>
      </c>
      <c r="V85" s="63">
        <v>102.0</v>
      </c>
      <c r="W85" s="62"/>
      <c r="X85" s="117"/>
      <c r="Y85" s="173"/>
      <c r="Z85" s="65"/>
    </row>
    <row r="86" ht="15.0" customHeight="1">
      <c r="B86" s="148"/>
      <c r="C86" s="144"/>
      <c r="D86" s="70" t="s">
        <v>845</v>
      </c>
      <c r="E86" s="91" t="s">
        <v>908</v>
      </c>
      <c r="F86" s="70"/>
      <c r="L86" s="61"/>
      <c r="M86" s="62"/>
      <c r="N86" s="63"/>
      <c r="O86" s="62"/>
      <c r="P86" s="63"/>
      <c r="Q86" s="62"/>
      <c r="R86" s="63"/>
      <c r="S86" s="62">
        <v>0.0</v>
      </c>
      <c r="T86" s="63">
        <v>1.0</v>
      </c>
      <c r="U86" s="62">
        <v>0.0</v>
      </c>
      <c r="V86" s="63">
        <v>0.0</v>
      </c>
      <c r="W86" s="62"/>
      <c r="X86" s="117"/>
      <c r="Y86" s="173"/>
      <c r="Z86" s="65"/>
    </row>
    <row r="87" ht="15.0" customHeight="1">
      <c r="B87" s="148"/>
      <c r="C87" s="144"/>
      <c r="D87" s="70" t="s">
        <v>847</v>
      </c>
      <c r="E87" s="91" t="s">
        <v>909</v>
      </c>
      <c r="F87" s="70"/>
      <c r="L87" s="61"/>
      <c r="M87" s="62"/>
      <c r="N87" s="63"/>
      <c r="O87" s="62"/>
      <c r="P87" s="63"/>
      <c r="Q87" s="62"/>
      <c r="R87" s="63"/>
      <c r="S87" s="62">
        <v>0.0</v>
      </c>
      <c r="T87" s="63">
        <v>0.0</v>
      </c>
      <c r="U87" s="62">
        <v>0.0</v>
      </c>
      <c r="V87" s="63">
        <v>0.0</v>
      </c>
      <c r="W87" s="62"/>
      <c r="X87" s="117"/>
      <c r="Y87" s="173"/>
      <c r="Z87" s="65"/>
    </row>
    <row r="88" ht="15.0" customHeight="1">
      <c r="B88" s="148"/>
      <c r="C88" s="144"/>
      <c r="D88" s="70" t="s">
        <v>849</v>
      </c>
      <c r="E88" s="91" t="s">
        <v>910</v>
      </c>
      <c r="F88" s="70"/>
      <c r="L88" s="61"/>
      <c r="M88" s="62"/>
      <c r="N88" s="63"/>
      <c r="O88" s="62"/>
      <c r="P88" s="63"/>
      <c r="Q88" s="62"/>
      <c r="R88" s="63"/>
      <c r="S88" s="62">
        <v>0.0</v>
      </c>
      <c r="T88" s="63">
        <v>4.0</v>
      </c>
      <c r="U88" s="62">
        <v>9.0</v>
      </c>
      <c r="V88" s="63">
        <v>5.0</v>
      </c>
      <c r="W88" s="62"/>
      <c r="X88" s="117"/>
      <c r="Y88" s="173"/>
      <c r="Z88" s="65"/>
    </row>
    <row r="89" ht="15.0" customHeight="1">
      <c r="B89" s="148"/>
      <c r="C89" s="144"/>
      <c r="D89" s="70" t="s">
        <v>858</v>
      </c>
      <c r="E89" s="70" t="s">
        <v>911</v>
      </c>
      <c r="F89" s="70"/>
      <c r="L89" s="61"/>
      <c r="M89" s="62"/>
      <c r="N89" s="63"/>
      <c r="O89" s="62"/>
      <c r="P89" s="63"/>
      <c r="Q89" s="62"/>
      <c r="R89" s="63"/>
      <c r="S89" s="62">
        <v>0.0</v>
      </c>
      <c r="T89" s="63">
        <v>29.0</v>
      </c>
      <c r="U89" s="62">
        <v>33.0</v>
      </c>
      <c r="V89" s="63">
        <v>1.0</v>
      </c>
      <c r="W89" s="62"/>
      <c r="X89" s="117"/>
      <c r="Y89" s="173"/>
      <c r="Z89" s="65"/>
    </row>
    <row r="90" ht="15.0" customHeight="1">
      <c r="B90" s="148"/>
      <c r="C90" s="144"/>
      <c r="D90" s="70" t="s">
        <v>860</v>
      </c>
      <c r="E90" s="70" t="s">
        <v>912</v>
      </c>
      <c r="F90" s="70"/>
      <c r="L90" s="61"/>
      <c r="M90" s="62"/>
      <c r="N90" s="63"/>
      <c r="O90" s="62"/>
      <c r="P90" s="63"/>
      <c r="Q90" s="62"/>
      <c r="R90" s="63"/>
      <c r="S90" s="62">
        <v>3.0</v>
      </c>
      <c r="T90" s="63">
        <v>0.0</v>
      </c>
      <c r="U90" s="62">
        <v>4.0</v>
      </c>
      <c r="V90" s="63">
        <v>0.0</v>
      </c>
      <c r="W90" s="62"/>
      <c r="X90" s="117"/>
      <c r="Y90" s="173"/>
      <c r="Z90" s="65"/>
    </row>
    <row r="91" ht="15.0" customHeight="1">
      <c r="B91" s="148"/>
      <c r="C91" s="144"/>
      <c r="D91" s="70" t="s">
        <v>862</v>
      </c>
      <c r="E91" s="70" t="s">
        <v>913</v>
      </c>
      <c r="F91" s="70"/>
      <c r="L91" s="61"/>
      <c r="M91" s="62"/>
      <c r="N91" s="63"/>
      <c r="O91" s="62"/>
      <c r="P91" s="63"/>
      <c r="Q91" s="62"/>
      <c r="R91" s="63"/>
      <c r="S91" s="62"/>
      <c r="T91" s="63"/>
      <c r="U91" s="62"/>
      <c r="V91" s="63"/>
      <c r="W91" s="62"/>
      <c r="X91" s="117"/>
      <c r="Y91" s="173"/>
      <c r="Z91" s="65"/>
    </row>
    <row r="92" ht="15.0" customHeight="1">
      <c r="B92" s="148"/>
      <c r="C92" s="144"/>
      <c r="D92" s="70" t="s">
        <v>914</v>
      </c>
      <c r="E92" s="70" t="s">
        <v>915</v>
      </c>
      <c r="F92" s="70"/>
      <c r="L92" s="61"/>
      <c r="M92" s="62"/>
      <c r="N92" s="63"/>
      <c r="O92" s="62"/>
      <c r="P92" s="63"/>
      <c r="Q92" s="62"/>
      <c r="R92" s="63"/>
      <c r="S92" s="62">
        <v>74.0</v>
      </c>
      <c r="T92" s="63">
        <v>118.0</v>
      </c>
      <c r="U92" s="62">
        <v>99.0</v>
      </c>
      <c r="V92" s="63">
        <v>59.0</v>
      </c>
      <c r="W92" s="62"/>
      <c r="X92" s="117"/>
      <c r="Y92" s="173"/>
      <c r="Z92" s="65"/>
    </row>
    <row r="93" ht="15.0" customHeight="1">
      <c r="B93" s="148"/>
      <c r="C93" s="144"/>
      <c r="D93" s="70" t="s">
        <v>916</v>
      </c>
      <c r="E93" s="70" t="s">
        <v>917</v>
      </c>
      <c r="F93" s="70"/>
      <c r="L93" s="61"/>
      <c r="M93" s="62"/>
      <c r="N93" s="63"/>
      <c r="O93" s="62"/>
      <c r="P93" s="63"/>
      <c r="Q93" s="62"/>
      <c r="R93" s="63"/>
      <c r="S93" s="62">
        <v>38.0</v>
      </c>
      <c r="T93" s="63">
        <v>30.0</v>
      </c>
      <c r="U93" s="62">
        <v>10.0</v>
      </c>
      <c r="V93" s="63">
        <v>0.0</v>
      </c>
      <c r="W93" s="62"/>
      <c r="X93" s="117"/>
      <c r="Y93" s="173"/>
      <c r="Z93" s="65"/>
    </row>
    <row r="94" ht="15.0" customHeight="1">
      <c r="B94" s="148"/>
      <c r="C94" s="144"/>
      <c r="D94" s="70" t="s">
        <v>918</v>
      </c>
      <c r="E94" s="70" t="s">
        <v>919</v>
      </c>
      <c r="F94" s="70"/>
      <c r="L94" s="61"/>
      <c r="M94" s="62"/>
      <c r="N94" s="63"/>
      <c r="O94" s="62"/>
      <c r="P94" s="63"/>
      <c r="Q94" s="62"/>
      <c r="R94" s="63"/>
      <c r="S94" s="62">
        <v>7.0</v>
      </c>
      <c r="T94" s="63">
        <v>0.0</v>
      </c>
      <c r="U94" s="62">
        <v>6.0</v>
      </c>
      <c r="V94" s="63">
        <v>37.0</v>
      </c>
      <c r="W94" s="62"/>
      <c r="X94" s="117"/>
      <c r="Y94" s="173"/>
      <c r="Z94" s="65"/>
    </row>
    <row r="95" ht="14.25" customHeight="1">
      <c r="B95" s="148"/>
      <c r="C95" s="70"/>
      <c r="D95" s="70"/>
      <c r="E95" s="77" t="s">
        <v>1208</v>
      </c>
      <c r="F95" s="70"/>
      <c r="L95" s="61"/>
      <c r="M95" s="62"/>
      <c r="N95" s="63"/>
      <c r="O95" s="62"/>
      <c r="P95" s="63"/>
      <c r="Q95" s="62"/>
      <c r="R95" s="63"/>
      <c r="S95" s="62">
        <v>7.0</v>
      </c>
      <c r="T95" s="63">
        <v>0.0</v>
      </c>
      <c r="U95" s="62">
        <v>0.0</v>
      </c>
      <c r="V95" s="63">
        <v>3.0</v>
      </c>
      <c r="W95" s="62"/>
      <c r="X95" s="117"/>
      <c r="Y95" s="173"/>
      <c r="Z95" s="65"/>
    </row>
    <row r="96" ht="14.25" customHeight="1">
      <c r="B96" s="148"/>
      <c r="C96" s="70"/>
      <c r="D96" s="70"/>
      <c r="E96" s="77" t="s">
        <v>1209</v>
      </c>
      <c r="F96" s="70"/>
      <c r="L96" s="61"/>
      <c r="M96" s="62"/>
      <c r="N96" s="63"/>
      <c r="O96" s="62"/>
      <c r="P96" s="63"/>
      <c r="Q96" s="62"/>
      <c r="R96" s="63"/>
      <c r="S96" s="62">
        <v>0.0</v>
      </c>
      <c r="T96" s="63">
        <v>0.0</v>
      </c>
      <c r="U96" s="62">
        <v>6.0</v>
      </c>
      <c r="V96" s="63">
        <v>8.0</v>
      </c>
      <c r="W96" s="62"/>
      <c r="X96" s="117"/>
      <c r="Y96" s="173"/>
      <c r="Z96" s="65"/>
    </row>
    <row r="97" ht="14.25" customHeight="1">
      <c r="B97" s="148"/>
      <c r="C97" s="70"/>
      <c r="D97" s="70"/>
      <c r="E97" s="77" t="s">
        <v>967</v>
      </c>
      <c r="F97" s="70"/>
      <c r="L97" s="61"/>
      <c r="M97" s="62"/>
      <c r="N97" s="63"/>
      <c r="O97" s="62"/>
      <c r="P97" s="63"/>
      <c r="Q97" s="62"/>
      <c r="R97" s="63"/>
      <c r="S97" s="62">
        <v>0.0</v>
      </c>
      <c r="T97" s="63">
        <v>0.0</v>
      </c>
      <c r="U97" s="62">
        <v>0.0</v>
      </c>
      <c r="V97" s="63">
        <v>26.0</v>
      </c>
      <c r="W97" s="62"/>
      <c r="X97" s="117"/>
      <c r="Y97" s="173"/>
      <c r="Z97" s="65"/>
    </row>
    <row r="98" ht="14.25" customHeight="1">
      <c r="B98" s="148"/>
      <c r="C98" s="70"/>
      <c r="D98" s="70"/>
      <c r="E98" s="70"/>
      <c r="L98" s="61"/>
      <c r="M98" s="62"/>
      <c r="N98" s="63"/>
      <c r="O98" s="62"/>
      <c r="P98" s="63"/>
      <c r="Q98" s="62"/>
      <c r="R98" s="63"/>
      <c r="S98" s="62"/>
      <c r="T98" s="63"/>
      <c r="U98" s="62"/>
      <c r="V98" s="63"/>
      <c r="W98" s="62"/>
      <c r="X98" s="117"/>
      <c r="Y98" s="173"/>
      <c r="Z98" s="65"/>
    </row>
    <row r="99" ht="14.25" customHeight="1">
      <c r="B99" s="148"/>
      <c r="C99" s="70"/>
      <c r="D99" s="70"/>
      <c r="E99" s="70"/>
      <c r="L99" s="61"/>
      <c r="M99" s="62"/>
      <c r="N99" s="63"/>
      <c r="O99" s="62"/>
      <c r="P99" s="63"/>
      <c r="Q99" s="62"/>
      <c r="R99" s="63"/>
      <c r="S99" s="62"/>
      <c r="T99" s="63"/>
      <c r="U99" s="62"/>
      <c r="V99" s="63"/>
      <c r="W99" s="62"/>
      <c r="X99" s="117"/>
      <c r="Y99" s="173"/>
      <c r="Z99" s="65"/>
    </row>
    <row r="100" ht="14.25" customHeight="1">
      <c r="B100" s="148"/>
      <c r="C100" s="214" t="s">
        <v>924</v>
      </c>
      <c r="D100" s="144" t="s">
        <v>925</v>
      </c>
      <c r="E100" s="183"/>
      <c r="L100" s="61"/>
      <c r="M100" s="62"/>
      <c r="N100" s="63"/>
      <c r="O100" s="62"/>
      <c r="P100" s="63"/>
      <c r="Q100" s="62"/>
      <c r="R100" s="63"/>
      <c r="S100" s="62">
        <v>255.0</v>
      </c>
      <c r="T100" s="63">
        <v>267.0</v>
      </c>
      <c r="U100" s="62">
        <v>161.0</v>
      </c>
      <c r="V100" s="63">
        <v>162.0</v>
      </c>
      <c r="W100" s="62"/>
      <c r="X100" s="117"/>
      <c r="Y100" s="173"/>
      <c r="Z100" s="65"/>
    </row>
    <row r="101" ht="15.0" customHeight="1">
      <c r="B101" s="148" t="s">
        <v>403</v>
      </c>
      <c r="C101" s="554" t="s">
        <v>926</v>
      </c>
      <c r="D101" s="186" t="s">
        <v>927</v>
      </c>
      <c r="E101" s="186"/>
      <c r="L101" s="61"/>
      <c r="M101" s="62"/>
      <c r="N101" s="63"/>
      <c r="O101" s="62"/>
      <c r="P101" s="63"/>
      <c r="Q101" s="62"/>
      <c r="R101" s="63"/>
      <c r="S101" s="62"/>
      <c r="T101" s="63"/>
      <c r="U101" s="62"/>
      <c r="V101" s="63"/>
      <c r="W101" s="62"/>
      <c r="X101" s="117"/>
      <c r="Y101" s="173"/>
      <c r="Z101" s="65"/>
    </row>
    <row r="102" ht="14.25" customHeight="1">
      <c r="B102" s="148"/>
      <c r="C102" s="144"/>
      <c r="D102" s="183" t="s">
        <v>928</v>
      </c>
      <c r="L102" s="61"/>
      <c r="M102" s="62"/>
      <c r="N102" s="63"/>
      <c r="O102" s="62"/>
      <c r="P102" s="63"/>
      <c r="Q102" s="62"/>
      <c r="R102" s="63"/>
      <c r="S102" s="62"/>
      <c r="T102" s="63"/>
      <c r="U102" s="62"/>
      <c r="V102" s="63"/>
      <c r="W102" s="62"/>
      <c r="X102" s="117"/>
      <c r="Y102" s="173"/>
      <c r="Z102" s="65"/>
    </row>
    <row r="103" ht="14.25" customHeight="1">
      <c r="B103" s="148"/>
      <c r="C103" s="70"/>
      <c r="D103" s="154" t="s">
        <v>929</v>
      </c>
      <c r="L103" s="61"/>
      <c r="M103" s="62"/>
      <c r="N103" s="63"/>
      <c r="O103" s="62"/>
      <c r="P103" s="63"/>
      <c r="Q103" s="62"/>
      <c r="R103" s="63"/>
      <c r="S103" s="62"/>
      <c r="T103" s="63"/>
      <c r="U103" s="62">
        <v>7.0</v>
      </c>
      <c r="V103" s="63">
        <v>10.0</v>
      </c>
      <c r="W103" s="62"/>
      <c r="X103" s="117"/>
      <c r="Y103" s="173"/>
      <c r="Z103" s="65"/>
    </row>
    <row r="104" ht="14.25" customHeight="1">
      <c r="B104" s="148"/>
      <c r="C104" s="77"/>
      <c r="D104" s="154" t="s">
        <v>930</v>
      </c>
      <c r="L104" s="61"/>
      <c r="M104" s="62"/>
      <c r="N104" s="63"/>
      <c r="O104" s="62"/>
      <c r="P104" s="63"/>
      <c r="Q104" s="62"/>
      <c r="R104" s="63"/>
      <c r="S104" s="62">
        <v>24.0</v>
      </c>
      <c r="T104" s="63">
        <v>14.0</v>
      </c>
      <c r="U104" s="62">
        <v>2.0</v>
      </c>
      <c r="V104" s="63"/>
      <c r="W104" s="62"/>
      <c r="X104" s="117"/>
      <c r="Y104" s="173"/>
      <c r="Z104" s="65"/>
    </row>
    <row r="105" ht="14.25" customHeight="1">
      <c r="B105" s="148"/>
      <c r="C105" s="77"/>
      <c r="D105" s="154" t="s">
        <v>931</v>
      </c>
      <c r="L105" s="61"/>
      <c r="M105" s="62"/>
      <c r="N105" s="63"/>
      <c r="O105" s="62"/>
      <c r="P105" s="63"/>
      <c r="Q105" s="62"/>
      <c r="R105" s="63"/>
      <c r="S105" s="62"/>
      <c r="T105" s="63"/>
      <c r="U105" s="62">
        <v>2.0</v>
      </c>
      <c r="V105" s="63"/>
      <c r="W105" s="62"/>
      <c r="X105" s="117"/>
      <c r="Y105" s="173"/>
      <c r="Z105" s="65"/>
    </row>
    <row r="106" ht="14.25" customHeight="1">
      <c r="B106" s="148"/>
      <c r="C106" s="77"/>
      <c r="D106" s="154" t="s">
        <v>932</v>
      </c>
      <c r="L106" s="61"/>
      <c r="M106" s="62"/>
      <c r="N106" s="63"/>
      <c r="O106" s="62"/>
      <c r="P106" s="63"/>
      <c r="Q106" s="62"/>
      <c r="R106" s="63"/>
      <c r="S106" s="62">
        <v>17.0</v>
      </c>
      <c r="T106" s="63">
        <v>1.0</v>
      </c>
      <c r="U106" s="62"/>
      <c r="V106" s="63"/>
      <c r="W106" s="62"/>
      <c r="X106" s="117"/>
      <c r="Y106" s="173"/>
      <c r="Z106" s="65"/>
    </row>
    <row r="107" ht="14.25" customHeight="1">
      <c r="B107" s="148"/>
      <c r="C107" s="144"/>
      <c r="D107" s="183" t="s">
        <v>933</v>
      </c>
      <c r="L107" s="61"/>
      <c r="M107" s="62"/>
      <c r="N107" s="63"/>
      <c r="O107" s="62"/>
      <c r="P107" s="63"/>
      <c r="Q107" s="62"/>
      <c r="R107" s="63"/>
      <c r="S107" s="62">
        <v>50.0</v>
      </c>
      <c r="T107" s="63">
        <v>14.0</v>
      </c>
      <c r="U107" s="62">
        <v>77.0</v>
      </c>
      <c r="V107" s="63">
        <v>26.0</v>
      </c>
      <c r="W107" s="62"/>
      <c r="X107" s="117"/>
      <c r="Y107" s="173"/>
      <c r="Z107" s="65"/>
    </row>
    <row r="108" ht="14.25" customHeight="1">
      <c r="B108" s="148"/>
      <c r="C108" s="70"/>
      <c r="D108" s="154" t="s">
        <v>934</v>
      </c>
      <c r="L108" s="61"/>
      <c r="M108" s="62"/>
      <c r="N108" s="63"/>
      <c r="O108" s="62"/>
      <c r="P108" s="63"/>
      <c r="Q108" s="62"/>
      <c r="R108" s="63"/>
      <c r="S108" s="62">
        <v>7.0</v>
      </c>
      <c r="T108" s="63">
        <v>9.0</v>
      </c>
      <c r="U108" s="62">
        <v>1.0</v>
      </c>
      <c r="V108" s="63"/>
      <c r="W108" s="62"/>
      <c r="X108" s="117"/>
      <c r="Y108" s="173"/>
      <c r="Z108" s="65"/>
    </row>
    <row r="109" ht="14.25" customHeight="1">
      <c r="B109" s="148"/>
      <c r="C109" s="77"/>
      <c r="D109" s="154" t="s">
        <v>935</v>
      </c>
      <c r="L109" s="61"/>
      <c r="M109" s="62"/>
      <c r="N109" s="63"/>
      <c r="O109" s="62"/>
      <c r="P109" s="63"/>
      <c r="Q109" s="62"/>
      <c r="R109" s="63"/>
      <c r="S109" s="62">
        <v>43.0</v>
      </c>
      <c r="T109" s="63">
        <v>5.0</v>
      </c>
      <c r="U109" s="62">
        <v>12.0</v>
      </c>
      <c r="V109" s="63">
        <v>26.0</v>
      </c>
      <c r="W109" s="62"/>
      <c r="X109" s="117"/>
      <c r="Y109" s="173"/>
      <c r="Z109" s="65"/>
    </row>
    <row r="110" ht="14.25" customHeight="1">
      <c r="B110" s="148"/>
      <c r="C110" s="75"/>
      <c r="D110" s="183" t="s">
        <v>936</v>
      </c>
      <c r="L110" s="61"/>
      <c r="M110" s="62"/>
      <c r="N110" s="63"/>
      <c r="O110" s="62"/>
      <c r="P110" s="63"/>
      <c r="Q110" s="62"/>
      <c r="R110" s="63"/>
      <c r="S110" s="62"/>
      <c r="T110" s="63"/>
      <c r="U110" s="62"/>
      <c r="V110" s="63"/>
      <c r="W110" s="62"/>
      <c r="X110" s="117"/>
      <c r="Y110" s="173"/>
      <c r="Z110" s="65"/>
    </row>
    <row r="111" ht="14.25" customHeight="1">
      <c r="B111" s="148"/>
      <c r="C111" s="214" t="s">
        <v>937</v>
      </c>
      <c r="D111" s="183" t="s">
        <v>938</v>
      </c>
      <c r="E111" s="70"/>
      <c r="L111" s="61"/>
      <c r="M111" s="62"/>
      <c r="N111" s="63"/>
      <c r="O111" s="62"/>
      <c r="P111" s="63"/>
      <c r="Q111" s="62"/>
      <c r="R111" s="63"/>
      <c r="S111" s="62">
        <v>1.0</v>
      </c>
      <c r="T111" s="63"/>
      <c r="U111" s="62"/>
      <c r="V111" s="63"/>
      <c r="W111" s="62"/>
      <c r="X111" s="117"/>
      <c r="Y111" s="173"/>
      <c r="Z111" s="65"/>
    </row>
    <row r="112" ht="14.25" customHeight="1">
      <c r="B112" s="148"/>
      <c r="C112" s="144"/>
      <c r="D112" s="183"/>
      <c r="E112" s="70"/>
      <c r="L112" s="61"/>
      <c r="M112" s="62"/>
      <c r="N112" s="63"/>
      <c r="O112" s="62"/>
      <c r="P112" s="63"/>
      <c r="Q112" s="62"/>
      <c r="R112" s="63"/>
      <c r="S112" s="62"/>
      <c r="T112" s="63"/>
      <c r="U112" s="62"/>
      <c r="V112" s="63"/>
      <c r="W112" s="62"/>
      <c r="X112" s="117"/>
      <c r="Y112" s="173"/>
      <c r="Z112" s="65"/>
    </row>
    <row r="113" ht="14.25" customHeight="1">
      <c r="B113" s="148"/>
      <c r="C113" s="214" t="s">
        <v>941</v>
      </c>
      <c r="D113" s="183" t="s">
        <v>1186</v>
      </c>
      <c r="E113" s="70"/>
      <c r="L113" s="61"/>
      <c r="M113" s="62"/>
      <c r="N113" s="63"/>
      <c r="O113" s="62"/>
      <c r="P113" s="63"/>
      <c r="Q113" s="62"/>
      <c r="R113" s="63"/>
      <c r="S113" s="62">
        <v>5.0</v>
      </c>
      <c r="T113" s="63"/>
      <c r="U113" s="62"/>
      <c r="V113" s="63"/>
      <c r="W113" s="62"/>
      <c r="X113" s="117"/>
      <c r="Y113" s="173"/>
      <c r="Z113" s="65"/>
    </row>
    <row r="114" ht="14.25" customHeight="1">
      <c r="B114" s="69" t="s">
        <v>403</v>
      </c>
      <c r="C114" s="70"/>
      <c r="D114" s="143"/>
      <c r="E114" s="143"/>
      <c r="L114" s="61"/>
      <c r="M114" s="62"/>
      <c r="N114" s="63"/>
      <c r="O114" s="62"/>
      <c r="P114" s="63"/>
      <c r="Q114" s="62"/>
      <c r="R114" s="63"/>
      <c r="S114" s="62"/>
      <c r="T114" s="63"/>
      <c r="U114" s="62"/>
      <c r="V114" s="63"/>
      <c r="W114" s="62"/>
      <c r="X114" s="117"/>
      <c r="Y114" s="173"/>
      <c r="Z114" s="65"/>
    </row>
    <row r="115" ht="14.25" customHeight="1">
      <c r="B115" s="148" t="s">
        <v>943</v>
      </c>
      <c r="C115" s="214" t="s">
        <v>866</v>
      </c>
      <c r="D115" s="144" t="s">
        <v>944</v>
      </c>
      <c r="E115" s="144"/>
      <c r="L115" s="61"/>
      <c r="M115" s="62"/>
      <c r="N115" s="63"/>
      <c r="O115" s="62"/>
      <c r="P115" s="63"/>
      <c r="Q115" s="62"/>
      <c r="R115" s="63"/>
      <c r="S115" s="62"/>
      <c r="T115" s="63"/>
      <c r="U115" s="62"/>
      <c r="V115" s="63"/>
      <c r="W115" s="62"/>
      <c r="X115" s="117"/>
      <c r="Y115" s="173"/>
      <c r="Z115" s="65"/>
    </row>
    <row r="116" ht="14.25" customHeight="1">
      <c r="B116" s="69" t="s">
        <v>945</v>
      </c>
      <c r="C116" s="70"/>
      <c r="D116" s="70" t="s">
        <v>845</v>
      </c>
      <c r="E116" s="118" t="s">
        <v>946</v>
      </c>
      <c r="L116" s="61"/>
      <c r="M116" s="62"/>
      <c r="N116" s="63"/>
      <c r="O116" s="62"/>
      <c r="P116" s="63"/>
      <c r="Q116" s="62"/>
      <c r="R116" s="63"/>
      <c r="S116" s="62">
        <v>5.0</v>
      </c>
      <c r="T116" s="63">
        <v>0.0</v>
      </c>
      <c r="U116" s="62">
        <v>1.0</v>
      </c>
      <c r="V116" s="63">
        <v>0.0</v>
      </c>
      <c r="W116" s="62"/>
      <c r="X116" s="117"/>
      <c r="Y116" s="173"/>
      <c r="Z116" s="65"/>
    </row>
    <row r="117" ht="14.25" customHeight="1">
      <c r="B117" s="148"/>
      <c r="C117" s="70"/>
      <c r="D117" s="197"/>
      <c r="E117" s="118" t="s">
        <v>878</v>
      </c>
      <c r="L117" s="61"/>
      <c r="M117" s="62"/>
      <c r="N117" s="63"/>
      <c r="O117" s="62"/>
      <c r="P117" s="63"/>
      <c r="Q117" s="62"/>
      <c r="R117" s="63"/>
      <c r="S117" s="62">
        <v>5.0</v>
      </c>
      <c r="T117" s="63">
        <v>0.0</v>
      </c>
      <c r="U117" s="62">
        <v>1.0</v>
      </c>
      <c r="V117" s="63">
        <v>0.0</v>
      </c>
      <c r="W117" s="62"/>
      <c r="X117" s="117"/>
      <c r="Y117" s="173"/>
      <c r="Z117" s="65"/>
    </row>
    <row r="118" ht="14.25" customHeight="1">
      <c r="B118" s="148"/>
      <c r="C118" s="70"/>
      <c r="D118" s="197"/>
      <c r="E118" s="118" t="s">
        <v>879</v>
      </c>
      <c r="L118" s="61"/>
      <c r="M118" s="62"/>
      <c r="N118" s="63"/>
      <c r="O118" s="62"/>
      <c r="P118" s="63"/>
      <c r="Q118" s="62"/>
      <c r="R118" s="63"/>
      <c r="S118" s="62">
        <v>0.0</v>
      </c>
      <c r="T118" s="63">
        <v>0.0</v>
      </c>
      <c r="U118" s="62">
        <v>0.0</v>
      </c>
      <c r="V118" s="63">
        <v>0.0</v>
      </c>
      <c r="W118" s="62"/>
      <c r="X118" s="117"/>
      <c r="Y118" s="173"/>
      <c r="Z118" s="65"/>
    </row>
    <row r="119" ht="14.25" customHeight="1">
      <c r="B119" s="148" t="s">
        <v>403</v>
      </c>
      <c r="C119" s="70"/>
      <c r="D119" s="197"/>
      <c r="E119" s="118" t="s">
        <v>880</v>
      </c>
      <c r="L119" s="61"/>
      <c r="M119" s="62"/>
      <c r="N119" s="63"/>
      <c r="O119" s="62"/>
      <c r="P119" s="63"/>
      <c r="Q119" s="62"/>
      <c r="R119" s="63"/>
      <c r="S119" s="62">
        <v>0.0</v>
      </c>
      <c r="T119" s="63">
        <v>0.0</v>
      </c>
      <c r="U119" s="62">
        <v>0.0</v>
      </c>
      <c r="V119" s="63">
        <v>0.0</v>
      </c>
      <c r="W119" s="62"/>
      <c r="X119" s="117"/>
      <c r="Y119" s="173"/>
      <c r="Z119" s="65"/>
    </row>
    <row r="120" ht="14.25" customHeight="1">
      <c r="B120" s="148"/>
      <c r="C120" s="70"/>
      <c r="D120" s="70" t="s">
        <v>847</v>
      </c>
      <c r="E120" s="118" t="s">
        <v>947</v>
      </c>
      <c r="L120" s="61"/>
      <c r="M120" s="62"/>
      <c r="N120" s="63"/>
      <c r="O120" s="62"/>
      <c r="P120" s="63"/>
      <c r="Q120" s="62"/>
      <c r="R120" s="63"/>
      <c r="S120" s="62">
        <v>3.0</v>
      </c>
      <c r="T120" s="63">
        <v>16.0</v>
      </c>
      <c r="U120" s="62">
        <v>0.0</v>
      </c>
      <c r="V120" s="63">
        <v>2.0</v>
      </c>
      <c r="W120" s="62"/>
      <c r="X120" s="117"/>
      <c r="Y120" s="173"/>
      <c r="Z120" s="65"/>
    </row>
    <row r="121" ht="14.25" customHeight="1">
      <c r="B121" s="148"/>
      <c r="C121" s="70"/>
      <c r="D121" s="70" t="s">
        <v>849</v>
      </c>
      <c r="E121" s="118" t="s">
        <v>948</v>
      </c>
      <c r="L121" s="61"/>
      <c r="M121" s="62"/>
      <c r="N121" s="63"/>
      <c r="O121" s="62"/>
      <c r="P121" s="63"/>
      <c r="Q121" s="62"/>
      <c r="R121" s="63"/>
      <c r="S121" s="62">
        <v>0.0</v>
      </c>
      <c r="T121" s="63">
        <v>0.0</v>
      </c>
      <c r="U121" s="62">
        <v>0.0</v>
      </c>
      <c r="V121" s="63">
        <v>0.0</v>
      </c>
      <c r="W121" s="62"/>
      <c r="X121" s="117"/>
      <c r="Y121" s="173"/>
      <c r="Z121" s="65"/>
    </row>
    <row r="122" ht="14.25" customHeight="1">
      <c r="B122" s="148"/>
      <c r="C122" s="70"/>
      <c r="D122" s="70" t="s">
        <v>858</v>
      </c>
      <c r="E122" s="118" t="s">
        <v>949</v>
      </c>
      <c r="L122" s="61"/>
      <c r="M122" s="62"/>
      <c r="N122" s="63"/>
      <c r="O122" s="62"/>
      <c r="P122" s="63"/>
      <c r="Q122" s="62"/>
      <c r="R122" s="63"/>
      <c r="S122" s="62">
        <v>0.0</v>
      </c>
      <c r="T122" s="63">
        <v>0.0</v>
      </c>
      <c r="U122" s="62">
        <v>0.0</v>
      </c>
      <c r="V122" s="63">
        <v>0.0</v>
      </c>
      <c r="W122" s="62"/>
      <c r="X122" s="117"/>
      <c r="Y122" s="173"/>
      <c r="Z122" s="65"/>
    </row>
    <row r="123" ht="14.25" customHeight="1">
      <c r="B123" s="148"/>
      <c r="C123" s="70"/>
      <c r="D123" s="70" t="s">
        <v>860</v>
      </c>
      <c r="E123" s="118" t="s">
        <v>950</v>
      </c>
      <c r="L123" s="61"/>
      <c r="M123" s="62"/>
      <c r="N123" s="63"/>
      <c r="O123" s="62"/>
      <c r="P123" s="63"/>
      <c r="Q123" s="62"/>
      <c r="R123" s="63"/>
      <c r="S123" s="62">
        <v>0.0</v>
      </c>
      <c r="T123" s="63">
        <v>0.0</v>
      </c>
      <c r="U123" s="62">
        <v>0.0</v>
      </c>
      <c r="V123" s="63">
        <v>0.0</v>
      </c>
      <c r="W123" s="62"/>
      <c r="X123" s="117"/>
      <c r="Y123" s="173"/>
      <c r="Z123" s="65"/>
    </row>
    <row r="124" ht="14.25" customHeight="1">
      <c r="B124" s="148"/>
      <c r="C124" s="70"/>
      <c r="D124" s="70" t="s">
        <v>862</v>
      </c>
      <c r="E124" s="118" t="s">
        <v>951</v>
      </c>
      <c r="L124" s="61"/>
      <c r="M124" s="62"/>
      <c r="N124" s="63"/>
      <c r="O124" s="62"/>
      <c r="P124" s="63"/>
      <c r="Q124" s="62"/>
      <c r="R124" s="63"/>
      <c r="S124" s="62">
        <v>7.0</v>
      </c>
      <c r="T124" s="63">
        <v>0.0</v>
      </c>
      <c r="U124" s="62">
        <v>5.0</v>
      </c>
      <c r="V124" s="63">
        <v>0.0</v>
      </c>
      <c r="W124" s="62"/>
      <c r="X124" s="117"/>
      <c r="Y124" s="173"/>
      <c r="Z124" s="65"/>
    </row>
    <row r="125" ht="14.25" customHeight="1">
      <c r="B125" s="148"/>
      <c r="C125" s="70"/>
      <c r="D125" s="70" t="s">
        <v>914</v>
      </c>
      <c r="E125" s="118" t="s">
        <v>919</v>
      </c>
      <c r="L125" s="61"/>
      <c r="M125" s="62"/>
      <c r="N125" s="63"/>
      <c r="O125" s="62"/>
      <c r="P125" s="63"/>
      <c r="Q125" s="62"/>
      <c r="R125" s="63"/>
      <c r="S125" s="62">
        <v>20.0</v>
      </c>
      <c r="T125" s="63">
        <v>16.0</v>
      </c>
      <c r="U125" s="62">
        <v>27.0</v>
      </c>
      <c r="V125" s="63">
        <v>32.0</v>
      </c>
      <c r="W125" s="62"/>
      <c r="X125" s="117"/>
      <c r="Y125" s="173"/>
      <c r="Z125" s="65"/>
    </row>
    <row r="126" ht="14.25" customHeight="1">
      <c r="B126" s="148"/>
      <c r="C126" s="70"/>
      <c r="D126" s="70"/>
      <c r="F126" s="118" t="s">
        <v>1210</v>
      </c>
      <c r="L126" s="61"/>
      <c r="M126" s="62"/>
      <c r="N126" s="63"/>
      <c r="O126" s="62"/>
      <c r="P126" s="63"/>
      <c r="Q126" s="62"/>
      <c r="R126" s="63"/>
      <c r="S126" s="62">
        <v>11.0</v>
      </c>
      <c r="T126" s="63">
        <v>16.0</v>
      </c>
      <c r="U126" s="62">
        <v>17.0</v>
      </c>
      <c r="V126" s="63">
        <v>23.0</v>
      </c>
      <c r="W126" s="62"/>
      <c r="X126" s="117"/>
      <c r="Y126" s="173"/>
      <c r="Z126" s="65"/>
    </row>
    <row r="127" ht="14.25" customHeight="1">
      <c r="B127" s="148"/>
      <c r="C127" s="70"/>
      <c r="D127" s="70"/>
      <c r="F127" s="118" t="s">
        <v>1211</v>
      </c>
      <c r="L127" s="61"/>
      <c r="M127" s="62"/>
      <c r="N127" s="63"/>
      <c r="O127" s="62"/>
      <c r="P127" s="63"/>
      <c r="Q127" s="62"/>
      <c r="R127" s="63"/>
      <c r="S127" s="62">
        <v>9.0</v>
      </c>
      <c r="T127" s="63">
        <v>0.0</v>
      </c>
      <c r="U127" s="62">
        <v>10.0</v>
      </c>
      <c r="V127" s="63">
        <v>5.0</v>
      </c>
      <c r="W127" s="62"/>
      <c r="X127" s="117"/>
      <c r="Y127" s="173"/>
      <c r="Z127" s="65"/>
    </row>
    <row r="128" ht="14.25" customHeight="1">
      <c r="B128" s="148"/>
      <c r="C128" s="70"/>
      <c r="D128" s="70"/>
      <c r="F128" s="118" t="s">
        <v>1212</v>
      </c>
      <c r="L128" s="61"/>
      <c r="M128" s="62"/>
      <c r="N128" s="63"/>
      <c r="O128" s="62"/>
      <c r="P128" s="63"/>
      <c r="Q128" s="62"/>
      <c r="R128" s="63"/>
      <c r="S128" s="62">
        <v>0.0</v>
      </c>
      <c r="T128" s="63">
        <v>0.0</v>
      </c>
      <c r="U128" s="62">
        <v>0.0</v>
      </c>
      <c r="V128" s="63">
        <v>4.0</v>
      </c>
      <c r="W128" s="62"/>
      <c r="X128" s="117"/>
      <c r="Y128" s="173"/>
      <c r="Z128" s="65"/>
    </row>
    <row r="129" ht="14.25" customHeight="1">
      <c r="B129" s="148"/>
      <c r="C129" s="70"/>
      <c r="D129" s="70"/>
      <c r="L129" s="61"/>
      <c r="M129" s="62"/>
      <c r="N129" s="63"/>
      <c r="O129" s="62"/>
      <c r="P129" s="63"/>
      <c r="Q129" s="62"/>
      <c r="R129" s="63"/>
      <c r="S129" s="62"/>
      <c r="T129" s="63"/>
      <c r="U129" s="62"/>
      <c r="V129" s="63"/>
      <c r="W129" s="62"/>
      <c r="X129" s="117"/>
      <c r="Y129" s="173"/>
      <c r="Z129" s="65"/>
    </row>
    <row r="130" ht="14.25" customHeight="1">
      <c r="B130" s="148"/>
      <c r="C130" s="70"/>
      <c r="D130" s="70"/>
      <c r="E130" s="77"/>
      <c r="L130" s="61"/>
      <c r="M130" s="62"/>
      <c r="N130" s="63"/>
      <c r="O130" s="62"/>
      <c r="P130" s="63"/>
      <c r="Q130" s="62"/>
      <c r="R130" s="63"/>
      <c r="S130" s="62"/>
      <c r="T130" s="63"/>
      <c r="U130" s="62"/>
      <c r="V130" s="63"/>
      <c r="W130" s="62"/>
      <c r="X130" s="117"/>
      <c r="Y130" s="173"/>
      <c r="Z130" s="65"/>
    </row>
    <row r="131" ht="14.25" customHeight="1">
      <c r="B131" s="148"/>
      <c r="C131" s="555" t="s">
        <v>906</v>
      </c>
      <c r="D131" s="144" t="s">
        <v>957</v>
      </c>
      <c r="E131" s="144"/>
      <c r="L131" s="61"/>
      <c r="M131" s="62"/>
      <c r="N131" s="63"/>
      <c r="O131" s="62"/>
      <c r="P131" s="63"/>
      <c r="Q131" s="62"/>
      <c r="R131" s="63"/>
      <c r="S131" s="62"/>
      <c r="T131" s="63"/>
      <c r="U131" s="62"/>
      <c r="V131" s="63"/>
      <c r="W131" s="62"/>
      <c r="X131" s="117"/>
      <c r="Y131" s="173"/>
      <c r="Z131" s="65"/>
    </row>
    <row r="132" ht="14.25" customHeight="1">
      <c r="B132" s="69"/>
      <c r="C132" s="70"/>
      <c r="D132" s="70" t="s">
        <v>845</v>
      </c>
      <c r="E132" s="118" t="s">
        <v>915</v>
      </c>
      <c r="L132" s="61"/>
      <c r="M132" s="62"/>
      <c r="N132" s="63"/>
      <c r="O132" s="62"/>
      <c r="P132" s="63"/>
      <c r="Q132" s="62"/>
      <c r="R132" s="63"/>
      <c r="S132" s="62">
        <v>35.0</v>
      </c>
      <c r="T132" s="63">
        <v>32.0</v>
      </c>
      <c r="U132" s="62">
        <v>69.0</v>
      </c>
      <c r="V132" s="63">
        <v>20.0</v>
      </c>
      <c r="W132" s="62"/>
      <c r="X132" s="117"/>
      <c r="Y132" s="173"/>
      <c r="Z132" s="65"/>
    </row>
    <row r="133" ht="14.25" customHeight="1">
      <c r="B133" s="69"/>
      <c r="C133" s="70"/>
      <c r="D133" s="70" t="s">
        <v>847</v>
      </c>
      <c r="E133" s="118" t="s">
        <v>912</v>
      </c>
      <c r="L133" s="61"/>
      <c r="M133" s="62"/>
      <c r="N133" s="63"/>
      <c r="O133" s="62"/>
      <c r="P133" s="63"/>
      <c r="Q133" s="62"/>
      <c r="R133" s="63"/>
      <c r="S133" s="62">
        <v>1.0</v>
      </c>
      <c r="T133" s="63">
        <v>2.0</v>
      </c>
      <c r="U133" s="62">
        <v>2.0</v>
      </c>
      <c r="V133" s="63">
        <v>0.0</v>
      </c>
      <c r="W133" s="62"/>
      <c r="X133" s="117"/>
      <c r="Y133" s="173"/>
      <c r="Z133" s="65"/>
    </row>
    <row r="134" ht="14.25" customHeight="1">
      <c r="B134" s="69"/>
      <c r="C134" s="70"/>
      <c r="D134" s="70" t="s">
        <v>849</v>
      </c>
      <c r="E134" s="118" t="s">
        <v>958</v>
      </c>
      <c r="L134" s="61"/>
      <c r="M134" s="62"/>
      <c r="N134" s="63"/>
      <c r="O134" s="62"/>
      <c r="P134" s="63"/>
      <c r="Q134" s="62"/>
      <c r="R134" s="63"/>
      <c r="S134" s="62">
        <v>0.0</v>
      </c>
      <c r="T134" s="63">
        <v>0.0</v>
      </c>
      <c r="U134" s="62">
        <v>0.0</v>
      </c>
      <c r="V134" s="63">
        <v>0.0</v>
      </c>
      <c r="W134" s="62"/>
      <c r="X134" s="117"/>
      <c r="Y134" s="173"/>
      <c r="Z134" s="65"/>
    </row>
    <row r="135" ht="14.25" customHeight="1">
      <c r="B135" s="69"/>
      <c r="C135" s="70"/>
      <c r="D135" s="70" t="s">
        <v>858</v>
      </c>
      <c r="E135" s="118" t="s">
        <v>959</v>
      </c>
      <c r="L135" s="61"/>
      <c r="M135" s="62"/>
      <c r="N135" s="63"/>
      <c r="O135" s="62"/>
      <c r="P135" s="63"/>
      <c r="Q135" s="62"/>
      <c r="R135" s="63"/>
      <c r="S135" s="62">
        <v>6.0</v>
      </c>
      <c r="T135" s="63">
        <v>2.0</v>
      </c>
      <c r="U135" s="62">
        <v>4.0</v>
      </c>
      <c r="V135" s="63">
        <v>0.0</v>
      </c>
      <c r="W135" s="62"/>
      <c r="X135" s="117"/>
      <c r="Y135" s="173"/>
      <c r="Z135" s="65"/>
    </row>
    <row r="136" ht="14.25" customHeight="1">
      <c r="B136" s="69"/>
      <c r="C136" s="70"/>
      <c r="D136" s="70" t="s">
        <v>860</v>
      </c>
      <c r="E136" s="118" t="s">
        <v>908</v>
      </c>
      <c r="L136" s="61"/>
      <c r="M136" s="62"/>
      <c r="N136" s="63"/>
      <c r="O136" s="62"/>
      <c r="P136" s="63"/>
      <c r="Q136" s="62"/>
      <c r="R136" s="63"/>
      <c r="S136" s="62">
        <v>0.0</v>
      </c>
      <c r="T136" s="63">
        <v>3.0</v>
      </c>
      <c r="U136" s="62">
        <v>0.0</v>
      </c>
      <c r="V136" s="63">
        <v>3.0</v>
      </c>
      <c r="W136" s="62"/>
      <c r="X136" s="117"/>
      <c r="Y136" s="173"/>
      <c r="Z136" s="65"/>
    </row>
    <row r="137" ht="14.25" customHeight="1">
      <c r="B137" s="69"/>
      <c r="C137" s="70"/>
      <c r="D137" s="70" t="s">
        <v>862</v>
      </c>
      <c r="E137" s="118" t="s">
        <v>909</v>
      </c>
      <c r="L137" s="61"/>
      <c r="M137" s="62"/>
      <c r="N137" s="63"/>
      <c r="O137" s="62"/>
      <c r="P137" s="63"/>
      <c r="Q137" s="62"/>
      <c r="R137" s="63"/>
      <c r="S137" s="62">
        <v>0.0</v>
      </c>
      <c r="T137" s="63">
        <v>0.0</v>
      </c>
      <c r="U137" s="62">
        <v>0.0</v>
      </c>
      <c r="V137" s="63">
        <v>0.0</v>
      </c>
      <c r="W137" s="62"/>
      <c r="X137" s="117"/>
      <c r="Y137" s="173"/>
      <c r="Z137" s="65"/>
    </row>
    <row r="138" ht="14.25" customHeight="1">
      <c r="B138" s="69"/>
      <c r="C138" s="70"/>
      <c r="D138" s="70" t="s">
        <v>914</v>
      </c>
      <c r="E138" s="118" t="s">
        <v>910</v>
      </c>
      <c r="L138" s="61"/>
      <c r="M138" s="62"/>
      <c r="N138" s="63"/>
      <c r="O138" s="62"/>
      <c r="P138" s="63"/>
      <c r="Q138" s="62"/>
      <c r="R138" s="63"/>
      <c r="S138" s="62">
        <v>3.0</v>
      </c>
      <c r="T138" s="63">
        <v>3.0</v>
      </c>
      <c r="U138" s="62">
        <v>5.0</v>
      </c>
      <c r="V138" s="63">
        <v>2.0</v>
      </c>
      <c r="W138" s="62"/>
      <c r="X138" s="117"/>
      <c r="Y138" s="173"/>
      <c r="Z138" s="65"/>
    </row>
    <row r="139" ht="14.25" customHeight="1">
      <c r="B139" s="69"/>
      <c r="C139" s="70"/>
      <c r="D139" s="70" t="s">
        <v>916</v>
      </c>
      <c r="E139" s="118" t="s">
        <v>913</v>
      </c>
      <c r="L139" s="61"/>
      <c r="M139" s="62"/>
      <c r="N139" s="63"/>
      <c r="O139" s="62"/>
      <c r="P139" s="63"/>
      <c r="Q139" s="62"/>
      <c r="R139" s="63"/>
      <c r="S139" s="62">
        <v>0.0</v>
      </c>
      <c r="T139" s="63">
        <v>0.0</v>
      </c>
      <c r="U139" s="62">
        <v>11.0</v>
      </c>
      <c r="V139" s="63">
        <v>0.0</v>
      </c>
      <c r="W139" s="62"/>
      <c r="X139" s="117"/>
      <c r="Y139" s="173"/>
      <c r="Z139" s="65"/>
    </row>
    <row r="140" ht="14.25" customHeight="1">
      <c r="B140" s="69"/>
      <c r="C140" s="70"/>
      <c r="D140" s="70" t="s">
        <v>960</v>
      </c>
      <c r="E140" s="118" t="s">
        <v>961</v>
      </c>
      <c r="L140" s="61"/>
      <c r="M140" s="62"/>
      <c r="N140" s="63"/>
      <c r="O140" s="62"/>
      <c r="P140" s="63"/>
      <c r="Q140" s="62"/>
      <c r="R140" s="63"/>
      <c r="S140" s="62">
        <v>13.0</v>
      </c>
      <c r="T140" s="63">
        <v>12.0</v>
      </c>
      <c r="U140" s="62">
        <v>13.0</v>
      </c>
      <c r="V140" s="63">
        <v>14.0</v>
      </c>
      <c r="W140" s="62"/>
      <c r="X140" s="117"/>
      <c r="Y140" s="173"/>
      <c r="Z140" s="65"/>
    </row>
    <row r="141" ht="14.25" customHeight="1">
      <c r="B141" s="69"/>
      <c r="C141" s="70"/>
      <c r="D141" s="70" t="s">
        <v>962</v>
      </c>
      <c r="E141" s="118" t="s">
        <v>963</v>
      </c>
      <c r="L141" s="61"/>
      <c r="M141" s="62"/>
      <c r="N141" s="63"/>
      <c r="O141" s="62"/>
      <c r="P141" s="63"/>
      <c r="Q141" s="62"/>
      <c r="R141" s="63"/>
      <c r="S141" s="62">
        <v>2.0</v>
      </c>
      <c r="T141" s="63">
        <v>4.0</v>
      </c>
      <c r="U141" s="62">
        <v>1.0</v>
      </c>
      <c r="V141" s="63">
        <v>5.0</v>
      </c>
      <c r="W141" s="62"/>
      <c r="X141" s="117"/>
      <c r="Y141" s="173"/>
      <c r="Z141" s="65"/>
    </row>
    <row r="142" ht="14.25" customHeight="1">
      <c r="B142" s="69"/>
      <c r="C142" s="70"/>
      <c r="D142" s="70"/>
      <c r="F142" s="118" t="s">
        <v>1213</v>
      </c>
      <c r="L142" s="61"/>
      <c r="M142" s="62"/>
      <c r="N142" s="63"/>
      <c r="O142" s="62"/>
      <c r="P142" s="63"/>
      <c r="Q142" s="62"/>
      <c r="R142" s="63"/>
      <c r="S142" s="62">
        <v>2.0</v>
      </c>
      <c r="T142" s="63">
        <v>0.0</v>
      </c>
      <c r="U142" s="62">
        <v>0.0</v>
      </c>
      <c r="V142" s="63">
        <v>0.0</v>
      </c>
      <c r="W142" s="62"/>
      <c r="X142" s="117"/>
      <c r="Y142" s="173"/>
      <c r="Z142" s="65"/>
    </row>
    <row r="143" ht="14.25" customHeight="1">
      <c r="B143" s="69"/>
      <c r="C143" s="70"/>
      <c r="D143" s="70"/>
      <c r="F143" s="118" t="s">
        <v>923</v>
      </c>
      <c r="L143" s="61"/>
      <c r="M143" s="62"/>
      <c r="N143" s="63"/>
      <c r="O143" s="62"/>
      <c r="P143" s="63"/>
      <c r="Q143" s="62"/>
      <c r="R143" s="63"/>
      <c r="S143" s="62">
        <v>0.0</v>
      </c>
      <c r="T143" s="63">
        <v>4.0</v>
      </c>
      <c r="U143" s="62">
        <v>0.0</v>
      </c>
      <c r="V143" s="63">
        <v>5.0</v>
      </c>
      <c r="W143" s="62"/>
      <c r="X143" s="117"/>
      <c r="Y143" s="173"/>
      <c r="Z143" s="65"/>
    </row>
    <row r="144" ht="14.25" customHeight="1">
      <c r="B144" s="69"/>
      <c r="C144" s="70"/>
      <c r="D144" s="70"/>
      <c r="F144" s="118" t="s">
        <v>1214</v>
      </c>
      <c r="L144" s="61"/>
      <c r="M144" s="62"/>
      <c r="N144" s="63"/>
      <c r="O144" s="62"/>
      <c r="P144" s="63"/>
      <c r="Q144" s="62"/>
      <c r="R144" s="63"/>
      <c r="S144" s="62">
        <v>0.0</v>
      </c>
      <c r="T144" s="63">
        <v>0.0</v>
      </c>
      <c r="U144" s="62">
        <v>1.0</v>
      </c>
      <c r="V144" s="63"/>
      <c r="W144" s="62"/>
      <c r="X144" s="117"/>
      <c r="Y144" s="173"/>
      <c r="Z144" s="65"/>
    </row>
    <row r="145" ht="14.25" customHeight="1">
      <c r="B145" s="69"/>
      <c r="C145" s="70"/>
      <c r="D145" s="70"/>
      <c r="L145" s="61"/>
      <c r="M145" s="62"/>
      <c r="N145" s="63"/>
      <c r="O145" s="62"/>
      <c r="P145" s="63"/>
      <c r="Q145" s="62"/>
      <c r="R145" s="63"/>
      <c r="S145" s="62"/>
      <c r="T145" s="63"/>
      <c r="U145" s="62"/>
      <c r="V145" s="63"/>
      <c r="W145" s="62"/>
      <c r="X145" s="117"/>
      <c r="Y145" s="173"/>
      <c r="Z145" s="65"/>
    </row>
    <row r="146" ht="14.25" customHeight="1">
      <c r="B146" s="69"/>
      <c r="C146" s="70"/>
      <c r="D146" s="70"/>
      <c r="L146" s="61"/>
      <c r="M146" s="62"/>
      <c r="N146" s="63"/>
      <c r="O146" s="62"/>
      <c r="P146" s="63"/>
      <c r="Q146" s="62"/>
      <c r="R146" s="63"/>
      <c r="S146" s="62"/>
      <c r="T146" s="63"/>
      <c r="U146" s="62"/>
      <c r="V146" s="63"/>
      <c r="W146" s="62"/>
      <c r="X146" s="117"/>
      <c r="Y146" s="173"/>
      <c r="Z146" s="65"/>
    </row>
    <row r="147" ht="14.25" customHeight="1">
      <c r="B147" s="69"/>
      <c r="C147" s="70"/>
      <c r="D147" s="70"/>
      <c r="E147" s="77"/>
      <c r="L147" s="61"/>
      <c r="M147" s="62"/>
      <c r="N147" s="63"/>
      <c r="O147" s="62"/>
      <c r="P147" s="63"/>
      <c r="Q147" s="62"/>
      <c r="R147" s="63"/>
      <c r="S147" s="62"/>
      <c r="T147" s="63"/>
      <c r="U147" s="62"/>
      <c r="V147" s="63"/>
      <c r="W147" s="62"/>
      <c r="X147" s="117"/>
      <c r="Y147" s="173"/>
      <c r="Z147" s="65"/>
    </row>
    <row r="148" ht="14.25" customHeight="1">
      <c r="B148" s="148" t="s">
        <v>968</v>
      </c>
      <c r="C148" s="183" t="s">
        <v>969</v>
      </c>
      <c r="D148" s="70"/>
      <c r="E148" s="70"/>
      <c r="L148" s="61"/>
      <c r="M148" s="62"/>
      <c r="N148" s="63"/>
      <c r="O148" s="62"/>
      <c r="P148" s="63"/>
      <c r="Q148" s="62"/>
      <c r="R148" s="63"/>
      <c r="S148" s="62"/>
      <c r="T148" s="63"/>
      <c r="U148" s="62"/>
      <c r="V148" s="63"/>
      <c r="W148" s="62"/>
      <c r="X148" s="117"/>
      <c r="Y148" s="173"/>
      <c r="Z148" s="65"/>
    </row>
    <row r="149" ht="14.25" customHeight="1">
      <c r="B149" s="69" t="s">
        <v>970</v>
      </c>
      <c r="C149" s="214" t="s">
        <v>866</v>
      </c>
      <c r="D149" s="144" t="s">
        <v>971</v>
      </c>
      <c r="E149" s="144"/>
      <c r="L149" s="61"/>
      <c r="M149" s="62"/>
      <c r="N149" s="63"/>
      <c r="O149" s="62"/>
      <c r="P149" s="63"/>
      <c r="Q149" s="62"/>
      <c r="R149" s="63"/>
      <c r="S149" s="62">
        <v>13.0</v>
      </c>
      <c r="T149" s="63">
        <v>22.0</v>
      </c>
      <c r="U149" s="62"/>
      <c r="V149" s="63">
        <v>33.0</v>
      </c>
      <c r="W149" s="62"/>
      <c r="X149" s="117"/>
      <c r="Y149" s="173"/>
      <c r="Z149" s="65"/>
    </row>
    <row r="150" ht="14.25" customHeight="1">
      <c r="B150" s="148" t="s">
        <v>403</v>
      </c>
      <c r="C150" s="70"/>
      <c r="D150" s="70" t="s">
        <v>972</v>
      </c>
      <c r="L150" s="61"/>
      <c r="M150" s="62"/>
      <c r="N150" s="63"/>
      <c r="O150" s="62"/>
      <c r="P150" s="63"/>
      <c r="Q150" s="62"/>
      <c r="R150" s="63"/>
      <c r="S150" s="62">
        <v>10.0</v>
      </c>
      <c r="T150" s="63">
        <v>0.0</v>
      </c>
      <c r="U150" s="62"/>
      <c r="V150" s="63">
        <v>0.0</v>
      </c>
      <c r="W150" s="62"/>
      <c r="X150" s="117"/>
      <c r="Y150" s="173"/>
      <c r="Z150" s="65"/>
    </row>
    <row r="151" ht="14.25" customHeight="1">
      <c r="B151" s="148"/>
      <c r="C151" s="70"/>
      <c r="D151" s="70" t="s">
        <v>973</v>
      </c>
      <c r="L151" s="61"/>
      <c r="M151" s="62"/>
      <c r="N151" s="63"/>
      <c r="O151" s="62"/>
      <c r="P151" s="63"/>
      <c r="Q151" s="62"/>
      <c r="R151" s="63"/>
      <c r="S151" s="62">
        <v>48.0</v>
      </c>
      <c r="T151" s="63">
        <v>22.0</v>
      </c>
      <c r="U151" s="62"/>
      <c r="V151" s="63">
        <v>33.0</v>
      </c>
      <c r="W151" s="62"/>
      <c r="X151" s="117"/>
      <c r="Y151" s="173"/>
      <c r="Z151" s="65"/>
    </row>
    <row r="152" ht="14.25" customHeight="1">
      <c r="B152" s="148"/>
      <c r="C152" s="70"/>
      <c r="D152" s="197" t="s">
        <v>974</v>
      </c>
      <c r="L152" s="61"/>
      <c r="M152" s="62"/>
      <c r="N152" s="63"/>
      <c r="O152" s="62"/>
      <c r="P152" s="63"/>
      <c r="Q152" s="62"/>
      <c r="R152" s="63"/>
      <c r="S152" s="62">
        <v>48.0</v>
      </c>
      <c r="T152" s="63">
        <v>22.0</v>
      </c>
      <c r="U152" s="62"/>
      <c r="V152" s="63">
        <v>33.0</v>
      </c>
      <c r="W152" s="62"/>
      <c r="X152" s="117"/>
      <c r="Y152" s="173"/>
      <c r="Z152" s="65"/>
    </row>
    <row r="153" ht="14.25" customHeight="1">
      <c r="B153" s="148"/>
      <c r="C153" s="70"/>
      <c r="D153" s="70" t="s">
        <v>975</v>
      </c>
      <c r="E153" s="70"/>
      <c r="L153" s="61"/>
      <c r="M153" s="62"/>
      <c r="N153" s="63"/>
      <c r="O153" s="62"/>
      <c r="P153" s="63"/>
      <c r="Q153" s="62"/>
      <c r="R153" s="63"/>
      <c r="S153" s="62">
        <v>7.0</v>
      </c>
      <c r="T153" s="63">
        <v>2.0</v>
      </c>
      <c r="U153" s="62"/>
      <c r="V153" s="63">
        <v>0.0</v>
      </c>
      <c r="W153" s="62"/>
      <c r="X153" s="117"/>
      <c r="Y153" s="173"/>
      <c r="Z153" s="65"/>
    </row>
    <row r="154" ht="14.25" customHeight="1">
      <c r="B154" s="148"/>
      <c r="C154" s="70"/>
      <c r="D154" s="70" t="s">
        <v>976</v>
      </c>
      <c r="E154" s="70"/>
      <c r="L154" s="61"/>
      <c r="M154" s="62"/>
      <c r="N154" s="63"/>
      <c r="O154" s="62"/>
      <c r="P154" s="63"/>
      <c r="Q154" s="62"/>
      <c r="R154" s="63"/>
      <c r="S154" s="62">
        <v>41.0</v>
      </c>
      <c r="T154" s="63">
        <v>20.0</v>
      </c>
      <c r="U154" s="62"/>
      <c r="V154" s="63">
        <v>33.0</v>
      </c>
      <c r="W154" s="62"/>
      <c r="X154" s="117"/>
      <c r="Y154" s="173"/>
      <c r="Z154" s="65"/>
    </row>
    <row r="155" ht="14.25" customHeight="1">
      <c r="B155" s="148"/>
      <c r="C155" s="143"/>
      <c r="D155" s="197" t="s">
        <v>977</v>
      </c>
      <c r="L155" s="61"/>
      <c r="M155" s="62"/>
      <c r="N155" s="63"/>
      <c r="O155" s="62"/>
      <c r="P155" s="63"/>
      <c r="Q155" s="62"/>
      <c r="R155" s="63"/>
      <c r="S155" s="62"/>
      <c r="T155" s="63"/>
      <c r="U155" s="62"/>
      <c r="V155" s="63"/>
      <c r="W155" s="62"/>
      <c r="X155" s="117"/>
      <c r="Y155" s="173"/>
      <c r="Z155" s="65"/>
    </row>
    <row r="156" ht="14.25" customHeight="1">
      <c r="B156" s="69" t="s">
        <v>978</v>
      </c>
      <c r="C156" s="214" t="s">
        <v>906</v>
      </c>
      <c r="D156" s="144" t="s">
        <v>979</v>
      </c>
      <c r="E156" s="143"/>
      <c r="L156" s="61"/>
      <c r="M156" s="62"/>
      <c r="N156" s="63"/>
      <c r="O156" s="62"/>
      <c r="P156" s="63"/>
      <c r="Q156" s="62"/>
      <c r="R156" s="63"/>
      <c r="S156" s="62"/>
      <c r="T156" s="63"/>
      <c r="U156" s="62"/>
      <c r="V156" s="63"/>
      <c r="W156" s="62"/>
      <c r="X156" s="117"/>
      <c r="Y156" s="173"/>
      <c r="Z156" s="65"/>
    </row>
    <row r="157" ht="14.25" customHeight="1">
      <c r="B157" s="148"/>
      <c r="C157" s="70"/>
      <c r="D157" s="70" t="s">
        <v>972</v>
      </c>
      <c r="L157" s="61"/>
      <c r="M157" s="62"/>
      <c r="N157" s="63"/>
      <c r="O157" s="62"/>
      <c r="P157" s="63"/>
      <c r="Q157" s="62"/>
      <c r="R157" s="63"/>
      <c r="S157" s="62"/>
      <c r="T157" s="63"/>
      <c r="U157" s="62"/>
      <c r="V157" s="63"/>
      <c r="W157" s="62"/>
      <c r="X157" s="117"/>
      <c r="Y157" s="173"/>
      <c r="Z157" s="65"/>
    </row>
    <row r="158" ht="14.25" customHeight="1">
      <c r="B158" s="148"/>
      <c r="C158" s="70"/>
      <c r="D158" s="70" t="s">
        <v>980</v>
      </c>
      <c r="L158" s="61"/>
      <c r="M158" s="62"/>
      <c r="N158" s="63"/>
      <c r="O158" s="62"/>
      <c r="P158" s="63"/>
      <c r="Q158" s="62"/>
      <c r="R158" s="63"/>
      <c r="S158" s="62"/>
      <c r="T158" s="63"/>
      <c r="U158" s="62"/>
      <c r="V158" s="63"/>
      <c r="W158" s="62"/>
      <c r="X158" s="117"/>
      <c r="Y158" s="173"/>
      <c r="Z158" s="65"/>
    </row>
    <row r="159" ht="14.25" customHeight="1">
      <c r="B159" s="148"/>
      <c r="C159" s="70"/>
      <c r="D159" s="70" t="s">
        <v>981</v>
      </c>
      <c r="L159" s="61"/>
      <c r="M159" s="62"/>
      <c r="N159" s="63"/>
      <c r="O159" s="62"/>
      <c r="P159" s="63"/>
      <c r="Q159" s="62"/>
      <c r="R159" s="63"/>
      <c r="S159" s="62"/>
      <c r="T159" s="63"/>
      <c r="U159" s="62"/>
      <c r="V159" s="63"/>
      <c r="W159" s="62"/>
      <c r="X159" s="117"/>
      <c r="Y159" s="173"/>
      <c r="Z159" s="65"/>
    </row>
    <row r="160" ht="14.25" customHeight="1">
      <c r="B160" s="69" t="s">
        <v>982</v>
      </c>
      <c r="C160" s="214" t="s">
        <v>924</v>
      </c>
      <c r="D160" s="183" t="s">
        <v>983</v>
      </c>
      <c r="E160" s="70"/>
      <c r="L160" s="61"/>
      <c r="M160" s="62"/>
      <c r="N160" s="63"/>
      <c r="O160" s="62"/>
      <c r="P160" s="63"/>
      <c r="Q160" s="62"/>
      <c r="R160" s="63"/>
      <c r="S160" s="62"/>
      <c r="T160" s="63"/>
      <c r="U160" s="62"/>
      <c r="V160" s="63"/>
      <c r="W160" s="62"/>
      <c r="X160" s="117"/>
      <c r="Y160" s="173"/>
      <c r="Z160" s="65"/>
    </row>
    <row r="161" ht="14.25" customHeight="1">
      <c r="B161" s="69"/>
      <c r="C161" s="70"/>
      <c r="D161" s="168" t="s">
        <v>984</v>
      </c>
      <c r="L161" s="61"/>
      <c r="M161" s="62"/>
      <c r="N161" s="63"/>
      <c r="O161" s="62"/>
      <c r="P161" s="63"/>
      <c r="Q161" s="62"/>
      <c r="R161" s="63"/>
      <c r="S161" s="62"/>
      <c r="T161" s="63"/>
      <c r="U161" s="62"/>
      <c r="V161" s="63"/>
      <c r="W161" s="62"/>
      <c r="X161" s="117"/>
      <c r="Y161" s="173"/>
      <c r="Z161" s="65"/>
    </row>
    <row r="162" ht="14.25" customHeight="1">
      <c r="B162" s="69" t="s">
        <v>403</v>
      </c>
      <c r="C162" s="70"/>
      <c r="D162" s="77" t="s">
        <v>133</v>
      </c>
      <c r="E162" s="77"/>
      <c r="L162" s="61"/>
      <c r="M162" s="62"/>
      <c r="N162" s="63"/>
      <c r="O162" s="62"/>
      <c r="P162" s="63"/>
      <c r="Q162" s="62"/>
      <c r="R162" s="63"/>
      <c r="S162" s="62"/>
      <c r="T162" s="63"/>
      <c r="U162" s="62"/>
      <c r="V162" s="63"/>
      <c r="W162" s="62"/>
      <c r="X162" s="117"/>
      <c r="Y162" s="173"/>
      <c r="Z162" s="65"/>
    </row>
    <row r="163" ht="14.25" customHeight="1">
      <c r="B163" s="69"/>
      <c r="C163" s="70"/>
      <c r="D163" s="70" t="s">
        <v>985</v>
      </c>
      <c r="E163" s="70"/>
      <c r="L163" s="61"/>
      <c r="M163" s="62"/>
      <c r="N163" s="63"/>
      <c r="O163" s="62"/>
      <c r="P163" s="63"/>
      <c r="Q163" s="62"/>
      <c r="R163" s="63"/>
      <c r="S163" s="62"/>
      <c r="T163" s="63"/>
      <c r="U163" s="62"/>
      <c r="V163" s="63"/>
      <c r="W163" s="62"/>
      <c r="X163" s="117"/>
      <c r="Y163" s="173"/>
      <c r="Z163" s="65"/>
    </row>
    <row r="164" ht="14.25" customHeight="1">
      <c r="B164" s="69"/>
      <c r="C164" s="70"/>
      <c r="D164" s="70" t="s">
        <v>986</v>
      </c>
      <c r="E164" s="70"/>
      <c r="L164" s="61"/>
      <c r="M164" s="62"/>
      <c r="N164" s="63"/>
      <c r="O164" s="62"/>
      <c r="P164" s="63"/>
      <c r="Q164" s="62"/>
      <c r="R164" s="63"/>
      <c r="S164" s="62"/>
      <c r="T164" s="63"/>
      <c r="U164" s="62"/>
      <c r="V164" s="63"/>
      <c r="W164" s="62"/>
      <c r="X164" s="117"/>
      <c r="Y164" s="173"/>
      <c r="Z164" s="65"/>
    </row>
    <row r="165" ht="14.25" customHeight="1">
      <c r="B165" s="69"/>
      <c r="C165" s="70"/>
      <c r="D165" s="70" t="s">
        <v>1187</v>
      </c>
      <c r="E165" s="70"/>
      <c r="L165" s="61"/>
      <c r="M165" s="62"/>
      <c r="N165" s="63"/>
      <c r="O165" s="62"/>
      <c r="P165" s="63"/>
      <c r="Q165" s="62"/>
      <c r="R165" s="63"/>
      <c r="S165" s="62"/>
      <c r="T165" s="63"/>
      <c r="U165" s="62"/>
      <c r="V165" s="63"/>
      <c r="W165" s="62"/>
      <c r="X165" s="117"/>
      <c r="Y165" s="173"/>
      <c r="Z165" s="65"/>
    </row>
    <row r="166" ht="14.25" customHeight="1">
      <c r="B166" s="69"/>
      <c r="C166" s="70"/>
      <c r="D166" s="70" t="s">
        <v>1188</v>
      </c>
      <c r="E166" s="70"/>
      <c r="L166" s="61"/>
      <c r="M166" s="62"/>
      <c r="N166" s="63"/>
      <c r="O166" s="62"/>
      <c r="P166" s="63"/>
      <c r="Q166" s="62"/>
      <c r="R166" s="63"/>
      <c r="S166" s="62"/>
      <c r="T166" s="63"/>
      <c r="U166" s="62"/>
      <c r="V166" s="63"/>
      <c r="W166" s="62"/>
      <c r="X166" s="117"/>
      <c r="Y166" s="173"/>
      <c r="Z166" s="65"/>
    </row>
    <row r="167" ht="14.25" customHeight="1">
      <c r="B167" s="69"/>
      <c r="C167" s="70"/>
      <c r="D167" s="70" t="s">
        <v>997</v>
      </c>
      <c r="E167" s="70"/>
      <c r="L167" s="61"/>
      <c r="M167" s="62"/>
      <c r="N167" s="63"/>
      <c r="O167" s="62"/>
      <c r="P167" s="63"/>
      <c r="Q167" s="62"/>
      <c r="R167" s="63"/>
      <c r="S167" s="62"/>
      <c r="T167" s="63"/>
      <c r="U167" s="62"/>
      <c r="V167" s="63"/>
      <c r="W167" s="62"/>
      <c r="X167" s="117"/>
      <c r="Y167" s="173"/>
      <c r="Z167" s="65"/>
    </row>
    <row r="168" ht="14.25" customHeight="1">
      <c r="B168" s="69"/>
      <c r="C168" s="70"/>
      <c r="D168" s="70" t="s">
        <v>998</v>
      </c>
      <c r="E168" s="70"/>
      <c r="L168" s="61"/>
      <c r="M168" s="62"/>
      <c r="N168" s="63"/>
      <c r="O168" s="62"/>
      <c r="P168" s="63"/>
      <c r="Q168" s="62"/>
      <c r="R168" s="63"/>
      <c r="S168" s="62"/>
      <c r="T168" s="63"/>
      <c r="U168" s="62"/>
      <c r="V168" s="63"/>
      <c r="W168" s="62"/>
      <c r="X168" s="117"/>
      <c r="Y168" s="173"/>
      <c r="Z168" s="65"/>
    </row>
    <row r="169" ht="14.25" customHeight="1">
      <c r="B169" s="69"/>
      <c r="C169" s="70"/>
      <c r="D169" s="77"/>
      <c r="E169" s="70"/>
      <c r="L169" s="61"/>
      <c r="M169" s="62"/>
      <c r="N169" s="63"/>
      <c r="O169" s="62"/>
      <c r="P169" s="63"/>
      <c r="Q169" s="62"/>
      <c r="R169" s="63"/>
      <c r="S169" s="62"/>
      <c r="T169" s="63"/>
      <c r="U169" s="62"/>
      <c r="V169" s="63"/>
      <c r="W169" s="62"/>
      <c r="X169" s="117"/>
      <c r="Y169" s="173"/>
      <c r="Z169" s="65"/>
    </row>
    <row r="170" ht="14.25" customHeight="1">
      <c r="B170" s="148" t="s">
        <v>991</v>
      </c>
      <c r="C170" s="144" t="s">
        <v>992</v>
      </c>
      <c r="D170" s="144"/>
      <c r="E170" s="144"/>
      <c r="L170" s="61"/>
      <c r="M170" s="62"/>
      <c r="N170" s="63"/>
      <c r="O170" s="62"/>
      <c r="P170" s="63"/>
      <c r="Q170" s="62"/>
      <c r="R170" s="63"/>
      <c r="S170" s="62"/>
      <c r="T170" s="63"/>
      <c r="U170" s="62"/>
      <c r="V170" s="63"/>
      <c r="W170" s="62"/>
      <c r="X170" s="117"/>
      <c r="Y170" s="173"/>
      <c r="Z170" s="65"/>
    </row>
    <row r="171" ht="14.25" customHeight="1">
      <c r="B171" s="69"/>
      <c r="C171" s="144"/>
      <c r="D171" s="144" t="s">
        <v>993</v>
      </c>
      <c r="E171" s="144"/>
      <c r="L171" s="61"/>
      <c r="M171" s="62"/>
      <c r="N171" s="63"/>
      <c r="O171" s="62"/>
      <c r="P171" s="63"/>
      <c r="Q171" s="62"/>
      <c r="R171" s="63"/>
      <c r="S171" s="62"/>
      <c r="T171" s="63"/>
      <c r="U171" s="62"/>
      <c r="V171" s="63"/>
      <c r="W171" s="62"/>
      <c r="X171" s="117"/>
      <c r="Y171" s="173"/>
      <c r="Z171" s="65"/>
    </row>
    <row r="172" ht="14.25" customHeight="1">
      <c r="B172" s="148"/>
      <c r="C172" s="70"/>
      <c r="D172" s="70" t="s">
        <v>994</v>
      </c>
      <c r="L172" s="61"/>
      <c r="M172" s="62"/>
      <c r="N172" s="63"/>
      <c r="O172" s="62"/>
      <c r="P172" s="63"/>
      <c r="Q172" s="62"/>
      <c r="R172" s="63"/>
      <c r="S172" s="62"/>
      <c r="T172" s="63"/>
      <c r="U172" s="62"/>
      <c r="V172" s="63"/>
      <c r="W172" s="62"/>
      <c r="X172" s="117"/>
      <c r="Y172" s="173"/>
      <c r="Z172" s="65"/>
    </row>
    <row r="173" ht="14.25" customHeight="1">
      <c r="B173" s="148"/>
      <c r="C173" s="144"/>
      <c r="D173" s="77" t="s">
        <v>133</v>
      </c>
      <c r="E173" s="70"/>
      <c r="L173" s="61"/>
      <c r="M173" s="62"/>
      <c r="N173" s="63"/>
      <c r="O173" s="62"/>
      <c r="P173" s="63"/>
      <c r="Q173" s="62"/>
      <c r="R173" s="63"/>
      <c r="S173" s="62"/>
      <c r="T173" s="63"/>
      <c r="U173" s="62"/>
      <c r="V173" s="63"/>
      <c r="W173" s="62"/>
      <c r="X173" s="117"/>
      <c r="Y173" s="173"/>
      <c r="Z173" s="65"/>
    </row>
    <row r="174" ht="14.25" customHeight="1">
      <c r="B174" s="148"/>
      <c r="C174" s="144"/>
      <c r="D174" s="70" t="s">
        <v>985</v>
      </c>
      <c r="E174" s="70"/>
      <c r="L174" s="61"/>
      <c r="M174" s="62"/>
      <c r="N174" s="63"/>
      <c r="O174" s="62"/>
      <c r="P174" s="63"/>
      <c r="Q174" s="62"/>
      <c r="R174" s="63"/>
      <c r="S174" s="62"/>
      <c r="T174" s="63"/>
      <c r="U174" s="62"/>
      <c r="V174" s="63"/>
      <c r="W174" s="62"/>
      <c r="X174" s="117"/>
      <c r="Y174" s="173"/>
      <c r="Z174" s="65"/>
    </row>
    <row r="175" ht="14.25" customHeight="1">
      <c r="B175" s="148"/>
      <c r="C175" s="144"/>
      <c r="D175" s="70" t="s">
        <v>986</v>
      </c>
      <c r="E175" s="70"/>
      <c r="L175" s="61"/>
      <c r="M175" s="62"/>
      <c r="N175" s="63"/>
      <c r="O175" s="62"/>
      <c r="P175" s="63"/>
      <c r="Q175" s="62"/>
      <c r="R175" s="63"/>
      <c r="S175" s="62"/>
      <c r="T175" s="63"/>
      <c r="U175" s="62"/>
      <c r="V175" s="63"/>
      <c r="W175" s="62"/>
      <c r="X175" s="117"/>
      <c r="Y175" s="173"/>
      <c r="Z175" s="65"/>
    </row>
    <row r="176" ht="14.25" customHeight="1">
      <c r="B176" s="148"/>
      <c r="C176" s="144"/>
      <c r="D176" s="70" t="s">
        <v>995</v>
      </c>
      <c r="E176" s="70"/>
      <c r="L176" s="61"/>
      <c r="M176" s="62"/>
      <c r="N176" s="63"/>
      <c r="O176" s="62"/>
      <c r="P176" s="63"/>
      <c r="Q176" s="62"/>
      <c r="R176" s="63"/>
      <c r="S176" s="62"/>
      <c r="T176" s="63"/>
      <c r="U176" s="62"/>
      <c r="V176" s="63"/>
      <c r="W176" s="62"/>
      <c r="X176" s="117"/>
      <c r="Y176" s="173"/>
      <c r="Z176" s="65"/>
    </row>
    <row r="177" ht="14.25" customHeight="1">
      <c r="B177" s="148"/>
      <c r="C177" s="144"/>
      <c r="D177" s="70" t="s">
        <v>996</v>
      </c>
      <c r="E177" s="70"/>
      <c r="L177" s="61"/>
      <c r="M177" s="62"/>
      <c r="N177" s="63"/>
      <c r="O177" s="62"/>
      <c r="P177" s="63"/>
      <c r="Q177" s="62"/>
      <c r="R177" s="63"/>
      <c r="S177" s="62"/>
      <c r="T177" s="63"/>
      <c r="U177" s="62"/>
      <c r="V177" s="63"/>
      <c r="W177" s="62"/>
      <c r="X177" s="117"/>
      <c r="Y177" s="173"/>
      <c r="Z177" s="65"/>
    </row>
    <row r="178" ht="14.25" customHeight="1">
      <c r="B178" s="148"/>
      <c r="C178" s="144"/>
      <c r="D178" s="70" t="s">
        <v>997</v>
      </c>
      <c r="E178" s="70"/>
      <c r="L178" s="61"/>
      <c r="M178" s="62"/>
      <c r="N178" s="63"/>
      <c r="O178" s="62"/>
      <c r="P178" s="63"/>
      <c r="Q178" s="62"/>
      <c r="R178" s="63"/>
      <c r="S178" s="62"/>
      <c r="T178" s="63"/>
      <c r="U178" s="62"/>
      <c r="V178" s="63"/>
      <c r="W178" s="62"/>
      <c r="X178" s="117"/>
      <c r="Y178" s="173"/>
      <c r="Z178" s="65"/>
    </row>
    <row r="179" ht="14.25" customHeight="1">
      <c r="B179" s="148"/>
      <c r="C179" s="144"/>
      <c r="D179" s="70" t="s">
        <v>998</v>
      </c>
      <c r="E179" s="70"/>
      <c r="L179" s="61"/>
      <c r="M179" s="62"/>
      <c r="N179" s="63"/>
      <c r="O179" s="62"/>
      <c r="P179" s="63"/>
      <c r="Q179" s="62"/>
      <c r="R179" s="63"/>
      <c r="S179" s="62"/>
      <c r="T179" s="63"/>
      <c r="U179" s="62"/>
      <c r="V179" s="63"/>
      <c r="W179" s="62"/>
      <c r="X179" s="117"/>
      <c r="Y179" s="173"/>
      <c r="Z179" s="65"/>
    </row>
    <row r="180" ht="14.25" customHeight="1">
      <c r="B180" s="148"/>
      <c r="C180" s="144"/>
      <c r="D180" s="70" t="s">
        <v>999</v>
      </c>
      <c r="E180" s="70"/>
      <c r="L180" s="61"/>
      <c r="M180" s="62"/>
      <c r="N180" s="63"/>
      <c r="O180" s="62"/>
      <c r="P180" s="63"/>
      <c r="Q180" s="62"/>
      <c r="R180" s="63"/>
      <c r="S180" s="62"/>
      <c r="T180" s="63"/>
      <c r="U180" s="62"/>
      <c r="V180" s="63"/>
      <c r="W180" s="62"/>
      <c r="X180" s="117"/>
      <c r="Y180" s="173"/>
      <c r="Z180" s="65"/>
    </row>
    <row r="181" ht="14.25" customHeight="1">
      <c r="B181" s="148"/>
      <c r="C181" s="144"/>
      <c r="D181" s="70"/>
      <c r="E181" s="70"/>
      <c r="L181" s="61"/>
      <c r="M181" s="62"/>
      <c r="N181" s="63"/>
      <c r="O181" s="62"/>
      <c r="P181" s="63"/>
      <c r="Q181" s="62"/>
      <c r="R181" s="63"/>
      <c r="S181" s="62"/>
      <c r="T181" s="63"/>
      <c r="U181" s="62"/>
      <c r="V181" s="63"/>
      <c r="W181" s="62"/>
      <c r="X181" s="117"/>
      <c r="Y181" s="173"/>
      <c r="Z181" s="65"/>
    </row>
    <row r="182" ht="14.25" customHeight="1">
      <c r="B182" s="69"/>
      <c r="C182" s="144"/>
      <c r="D182" s="144" t="s">
        <v>1000</v>
      </c>
      <c r="E182" s="144"/>
      <c r="L182" s="61"/>
      <c r="M182" s="62"/>
      <c r="N182" s="63"/>
      <c r="O182" s="62"/>
      <c r="P182" s="63"/>
      <c r="Q182" s="62"/>
      <c r="R182" s="63"/>
      <c r="S182" s="62"/>
      <c r="T182" s="63"/>
      <c r="U182" s="62"/>
      <c r="V182" s="63"/>
      <c r="W182" s="62"/>
      <c r="X182" s="117"/>
      <c r="Y182" s="173"/>
      <c r="Z182" s="65"/>
    </row>
    <row r="183" ht="14.25" customHeight="1">
      <c r="B183" s="148"/>
      <c r="C183" s="70"/>
      <c r="D183" s="70" t="s">
        <v>1001</v>
      </c>
      <c r="L183" s="61"/>
      <c r="M183" s="62"/>
      <c r="N183" s="63"/>
      <c r="O183" s="62"/>
      <c r="P183" s="63"/>
      <c r="Q183" s="62"/>
      <c r="R183" s="63"/>
      <c r="S183" s="62"/>
      <c r="T183" s="63"/>
      <c r="U183" s="62"/>
      <c r="V183" s="63"/>
      <c r="W183" s="62"/>
      <c r="X183" s="117"/>
      <c r="Y183" s="173"/>
      <c r="Z183" s="65"/>
    </row>
    <row r="184" ht="14.25" customHeight="1">
      <c r="B184" s="148"/>
      <c r="C184" s="144"/>
      <c r="D184" s="70" t="s">
        <v>1002</v>
      </c>
      <c r="E184" s="70"/>
      <c r="L184" s="61"/>
      <c r="M184" s="62"/>
      <c r="N184" s="63"/>
      <c r="O184" s="62"/>
      <c r="P184" s="63"/>
      <c r="Q184" s="62"/>
      <c r="R184" s="63"/>
      <c r="S184" s="62"/>
      <c r="T184" s="63"/>
      <c r="U184" s="62"/>
      <c r="V184" s="63"/>
      <c r="W184" s="62"/>
      <c r="X184" s="117"/>
      <c r="Y184" s="173"/>
      <c r="Z184" s="65"/>
    </row>
    <row r="185" ht="14.25" customHeight="1">
      <c r="B185" s="148"/>
      <c r="C185" s="144"/>
      <c r="D185" s="70" t="s">
        <v>985</v>
      </c>
      <c r="E185" s="70"/>
      <c r="L185" s="61"/>
      <c r="M185" s="62"/>
      <c r="N185" s="63"/>
      <c r="O185" s="62"/>
      <c r="P185" s="63"/>
      <c r="Q185" s="62"/>
      <c r="R185" s="63"/>
      <c r="S185" s="62"/>
      <c r="T185" s="63"/>
      <c r="U185" s="62"/>
      <c r="V185" s="63"/>
      <c r="W185" s="62"/>
      <c r="X185" s="117"/>
      <c r="Y185" s="173"/>
      <c r="Z185" s="65"/>
    </row>
    <row r="186" ht="14.25" customHeight="1">
      <c r="B186" s="148"/>
      <c r="C186" s="144"/>
      <c r="D186" s="70" t="s">
        <v>986</v>
      </c>
      <c r="E186" s="70"/>
      <c r="L186" s="61"/>
      <c r="M186" s="62"/>
      <c r="N186" s="63"/>
      <c r="O186" s="62"/>
      <c r="P186" s="63"/>
      <c r="Q186" s="62"/>
      <c r="R186" s="63"/>
      <c r="S186" s="62"/>
      <c r="T186" s="63"/>
      <c r="U186" s="62"/>
      <c r="V186" s="63"/>
      <c r="W186" s="62"/>
      <c r="X186" s="117"/>
      <c r="Y186" s="173"/>
      <c r="Z186" s="65"/>
    </row>
    <row r="187" ht="14.25" customHeight="1">
      <c r="B187" s="148"/>
      <c r="C187" s="144"/>
      <c r="D187" s="70" t="s">
        <v>995</v>
      </c>
      <c r="E187" s="70"/>
      <c r="L187" s="61"/>
      <c r="M187" s="62"/>
      <c r="N187" s="63"/>
      <c r="O187" s="62"/>
      <c r="P187" s="63"/>
      <c r="Q187" s="62"/>
      <c r="R187" s="63"/>
      <c r="S187" s="62"/>
      <c r="T187" s="63"/>
      <c r="U187" s="62"/>
      <c r="V187" s="63"/>
      <c r="W187" s="62"/>
      <c r="X187" s="117"/>
      <c r="Y187" s="173"/>
      <c r="Z187" s="65"/>
    </row>
    <row r="188" ht="14.25" customHeight="1">
      <c r="B188" s="148"/>
      <c r="C188" s="144"/>
      <c r="D188" s="70" t="s">
        <v>1003</v>
      </c>
      <c r="E188" s="70"/>
      <c r="L188" s="61"/>
      <c r="M188" s="62"/>
      <c r="N188" s="63"/>
      <c r="O188" s="62"/>
      <c r="P188" s="63"/>
      <c r="Q188" s="62"/>
      <c r="R188" s="63"/>
      <c r="S188" s="62"/>
      <c r="T188" s="63"/>
      <c r="U188" s="62"/>
      <c r="V188" s="63"/>
      <c r="W188" s="62"/>
      <c r="X188" s="117"/>
      <c r="Y188" s="173"/>
      <c r="Z188" s="65"/>
    </row>
    <row r="189" ht="14.25" customHeight="1">
      <c r="B189" s="148"/>
      <c r="C189" s="144"/>
      <c r="D189" s="70" t="s">
        <v>998</v>
      </c>
      <c r="E189" s="70"/>
      <c r="L189" s="61"/>
      <c r="M189" s="62"/>
      <c r="N189" s="63"/>
      <c r="O189" s="62"/>
      <c r="P189" s="63"/>
      <c r="Q189" s="62"/>
      <c r="R189" s="63"/>
      <c r="S189" s="62"/>
      <c r="T189" s="63"/>
      <c r="U189" s="62"/>
      <c r="V189" s="63"/>
      <c r="W189" s="62"/>
      <c r="X189" s="117"/>
      <c r="Y189" s="173"/>
      <c r="Z189" s="65"/>
    </row>
    <row r="190" ht="14.25" customHeight="1">
      <c r="B190" s="148"/>
      <c r="C190" s="144"/>
      <c r="D190" s="70" t="s">
        <v>999</v>
      </c>
      <c r="E190" s="70"/>
      <c r="L190" s="61"/>
      <c r="M190" s="62"/>
      <c r="N190" s="63"/>
      <c r="O190" s="62"/>
      <c r="P190" s="63"/>
      <c r="Q190" s="62"/>
      <c r="R190" s="63"/>
      <c r="S190" s="62"/>
      <c r="T190" s="63"/>
      <c r="U190" s="62"/>
      <c r="V190" s="63"/>
      <c r="W190" s="62"/>
      <c r="X190" s="117"/>
      <c r="Y190" s="173"/>
      <c r="Z190" s="65"/>
    </row>
    <row r="191" ht="14.25" customHeight="1">
      <c r="B191" s="148"/>
      <c r="C191" s="144"/>
      <c r="D191" s="70" t="s">
        <v>1005</v>
      </c>
      <c r="E191" s="70"/>
      <c r="L191" s="61"/>
      <c r="M191" s="62"/>
      <c r="N191" s="63"/>
      <c r="O191" s="62"/>
      <c r="P191" s="63"/>
      <c r="Q191" s="62"/>
      <c r="R191" s="63"/>
      <c r="S191" s="62"/>
      <c r="T191" s="63"/>
      <c r="U191" s="62"/>
      <c r="V191" s="63"/>
      <c r="W191" s="62"/>
      <c r="X191" s="117"/>
      <c r="Y191" s="173"/>
      <c r="Z191" s="65"/>
    </row>
    <row r="192" ht="14.25" customHeight="1">
      <c r="B192" s="148"/>
      <c r="C192" s="144"/>
      <c r="D192" s="70"/>
      <c r="E192" s="70"/>
      <c r="L192" s="61"/>
      <c r="M192" s="62"/>
      <c r="N192" s="63"/>
      <c r="O192" s="62"/>
      <c r="P192" s="63"/>
      <c r="Q192" s="62"/>
      <c r="R192" s="63"/>
      <c r="S192" s="62"/>
      <c r="T192" s="63"/>
      <c r="U192" s="62"/>
      <c r="V192" s="63"/>
      <c r="W192" s="62"/>
      <c r="X192" s="117"/>
      <c r="Y192" s="173"/>
      <c r="Z192" s="65"/>
    </row>
    <row r="193" ht="14.25" customHeight="1">
      <c r="B193" s="69"/>
      <c r="C193" s="144"/>
      <c r="D193" s="144" t="s">
        <v>1006</v>
      </c>
      <c r="E193" s="144"/>
      <c r="L193" s="61"/>
      <c r="M193" s="62"/>
      <c r="N193" s="63"/>
      <c r="O193" s="62"/>
      <c r="P193" s="63"/>
      <c r="Q193" s="62"/>
      <c r="R193" s="63"/>
      <c r="S193" s="62"/>
      <c r="T193" s="63"/>
      <c r="U193" s="62"/>
      <c r="V193" s="63"/>
      <c r="W193" s="62"/>
      <c r="X193" s="117"/>
      <c r="Y193" s="173"/>
      <c r="Z193" s="65"/>
    </row>
    <row r="194" ht="14.25" customHeight="1">
      <c r="B194" s="148"/>
      <c r="C194" s="70"/>
      <c r="D194" s="70" t="s">
        <v>1007</v>
      </c>
      <c r="L194" s="61"/>
      <c r="M194" s="62"/>
      <c r="N194" s="63"/>
      <c r="O194" s="62"/>
      <c r="P194" s="63"/>
      <c r="Q194" s="62"/>
      <c r="R194" s="63"/>
      <c r="S194" s="62"/>
      <c r="T194" s="63"/>
      <c r="U194" s="62"/>
      <c r="V194" s="63"/>
      <c r="W194" s="62"/>
      <c r="X194" s="117"/>
      <c r="Y194" s="173"/>
      <c r="Z194" s="65"/>
    </row>
    <row r="195" ht="14.25" customHeight="1">
      <c r="B195" s="148"/>
      <c r="C195" s="144"/>
      <c r="D195" s="70" t="s">
        <v>1002</v>
      </c>
      <c r="E195" s="70"/>
      <c r="L195" s="61"/>
      <c r="M195" s="62"/>
      <c r="N195" s="63"/>
      <c r="O195" s="62"/>
      <c r="P195" s="63"/>
      <c r="Q195" s="62"/>
      <c r="R195" s="63"/>
      <c r="S195" s="62"/>
      <c r="T195" s="63"/>
      <c r="U195" s="62"/>
      <c r="V195" s="63"/>
      <c r="W195" s="62"/>
      <c r="X195" s="117"/>
      <c r="Y195" s="173"/>
      <c r="Z195" s="65"/>
    </row>
    <row r="196" ht="14.25" customHeight="1">
      <c r="B196" s="148"/>
      <c r="C196" s="144"/>
      <c r="D196" s="70" t="s">
        <v>985</v>
      </c>
      <c r="E196" s="70"/>
      <c r="L196" s="61"/>
      <c r="M196" s="62"/>
      <c r="N196" s="63"/>
      <c r="O196" s="62"/>
      <c r="P196" s="63"/>
      <c r="Q196" s="62"/>
      <c r="R196" s="63"/>
      <c r="S196" s="62"/>
      <c r="T196" s="63"/>
      <c r="U196" s="62"/>
      <c r="V196" s="63"/>
      <c r="W196" s="62"/>
      <c r="X196" s="117"/>
      <c r="Y196" s="173"/>
      <c r="Z196" s="65"/>
    </row>
    <row r="197" ht="14.25" customHeight="1">
      <c r="B197" s="148"/>
      <c r="C197" s="144"/>
      <c r="D197" s="70" t="s">
        <v>986</v>
      </c>
      <c r="E197" s="70"/>
      <c r="L197" s="61"/>
      <c r="M197" s="62"/>
      <c r="N197" s="63"/>
      <c r="O197" s="62"/>
      <c r="P197" s="63"/>
      <c r="Q197" s="62"/>
      <c r="R197" s="63"/>
      <c r="S197" s="62"/>
      <c r="T197" s="63"/>
      <c r="U197" s="62"/>
      <c r="V197" s="63"/>
      <c r="W197" s="62"/>
      <c r="X197" s="117"/>
      <c r="Y197" s="173"/>
      <c r="Z197" s="65"/>
    </row>
    <row r="198" ht="14.25" customHeight="1">
      <c r="B198" s="148"/>
      <c r="C198" s="144"/>
      <c r="D198" s="70" t="s">
        <v>995</v>
      </c>
      <c r="E198" s="70"/>
      <c r="L198" s="61"/>
      <c r="M198" s="62"/>
      <c r="N198" s="63"/>
      <c r="O198" s="62"/>
      <c r="P198" s="63"/>
      <c r="Q198" s="62"/>
      <c r="R198" s="63"/>
      <c r="S198" s="62"/>
      <c r="T198" s="63"/>
      <c r="U198" s="62"/>
      <c r="V198" s="63"/>
      <c r="W198" s="62"/>
      <c r="X198" s="117"/>
      <c r="Y198" s="173"/>
      <c r="Z198" s="65"/>
    </row>
    <row r="199" ht="14.25" customHeight="1">
      <c r="B199" s="148"/>
      <c r="C199" s="144"/>
      <c r="D199" s="70" t="s">
        <v>996</v>
      </c>
      <c r="E199" s="70"/>
      <c r="L199" s="61"/>
      <c r="M199" s="62"/>
      <c r="N199" s="63"/>
      <c r="O199" s="62"/>
      <c r="P199" s="63"/>
      <c r="Q199" s="62"/>
      <c r="R199" s="63"/>
      <c r="S199" s="62"/>
      <c r="T199" s="63"/>
      <c r="U199" s="62"/>
      <c r="V199" s="63"/>
      <c r="W199" s="62"/>
      <c r="X199" s="117"/>
      <c r="Y199" s="173"/>
      <c r="Z199" s="65"/>
    </row>
    <row r="200" ht="14.25" customHeight="1">
      <c r="B200" s="148"/>
      <c r="C200" s="144"/>
      <c r="D200" s="70" t="s">
        <v>997</v>
      </c>
      <c r="E200" s="70"/>
      <c r="L200" s="61"/>
      <c r="M200" s="62"/>
      <c r="N200" s="63"/>
      <c r="O200" s="62"/>
      <c r="P200" s="63"/>
      <c r="Q200" s="62"/>
      <c r="R200" s="63"/>
      <c r="S200" s="62"/>
      <c r="T200" s="63"/>
      <c r="U200" s="62"/>
      <c r="V200" s="63"/>
      <c r="W200" s="62"/>
      <c r="X200" s="117"/>
      <c r="Y200" s="173"/>
      <c r="Z200" s="65"/>
    </row>
    <row r="201" ht="14.25" customHeight="1">
      <c r="B201" s="148"/>
      <c r="C201" s="144"/>
      <c r="D201" s="70" t="s">
        <v>998</v>
      </c>
      <c r="E201" s="70"/>
      <c r="L201" s="61"/>
      <c r="M201" s="62"/>
      <c r="N201" s="63"/>
      <c r="O201" s="62"/>
      <c r="P201" s="63"/>
      <c r="Q201" s="62"/>
      <c r="R201" s="63"/>
      <c r="S201" s="62"/>
      <c r="T201" s="63"/>
      <c r="U201" s="62"/>
      <c r="V201" s="63"/>
      <c r="W201" s="62"/>
      <c r="X201" s="117"/>
      <c r="Y201" s="173"/>
      <c r="Z201" s="65"/>
    </row>
    <row r="202" ht="14.25" customHeight="1">
      <c r="B202" s="148"/>
      <c r="C202" s="144"/>
      <c r="D202" s="70" t="s">
        <v>999</v>
      </c>
      <c r="E202" s="70"/>
      <c r="L202" s="61"/>
      <c r="M202" s="62"/>
      <c r="N202" s="63"/>
      <c r="O202" s="62"/>
      <c r="P202" s="63"/>
      <c r="Q202" s="62"/>
      <c r="R202" s="63"/>
      <c r="S202" s="62"/>
      <c r="T202" s="63"/>
      <c r="U202" s="62"/>
      <c r="V202" s="63"/>
      <c r="W202" s="62"/>
      <c r="X202" s="117"/>
      <c r="Y202" s="173"/>
      <c r="Z202" s="65"/>
    </row>
    <row r="203" ht="14.25" customHeight="1">
      <c r="B203" s="148"/>
      <c r="C203" s="144"/>
      <c r="D203" s="70"/>
      <c r="E203" s="70"/>
      <c r="L203" s="61"/>
      <c r="M203" s="62"/>
      <c r="N203" s="63"/>
      <c r="O203" s="62"/>
      <c r="P203" s="63"/>
      <c r="Q203" s="62"/>
      <c r="R203" s="63"/>
      <c r="S203" s="62"/>
      <c r="T203" s="63"/>
      <c r="U203" s="62"/>
      <c r="V203" s="63"/>
      <c r="W203" s="62"/>
      <c r="X203" s="117"/>
      <c r="Y203" s="173"/>
      <c r="Z203" s="65"/>
    </row>
    <row r="204" ht="14.25" customHeight="1">
      <c r="B204" s="69"/>
      <c r="C204" s="144"/>
      <c r="D204" s="144" t="s">
        <v>1012</v>
      </c>
      <c r="E204" s="144"/>
      <c r="L204" s="61"/>
      <c r="M204" s="62"/>
      <c r="N204" s="63"/>
      <c r="O204" s="62"/>
      <c r="P204" s="63"/>
      <c r="Q204" s="62"/>
      <c r="R204" s="63"/>
      <c r="S204" s="62"/>
      <c r="T204" s="63"/>
      <c r="U204" s="62"/>
      <c r="V204" s="63"/>
      <c r="W204" s="62"/>
      <c r="X204" s="117"/>
      <c r="Y204" s="173"/>
      <c r="Z204" s="65"/>
    </row>
    <row r="205" ht="14.25" customHeight="1">
      <c r="B205" s="148"/>
      <c r="C205" s="70"/>
      <c r="D205" s="70" t="s">
        <v>1013</v>
      </c>
      <c r="L205" s="61"/>
      <c r="M205" s="62"/>
      <c r="N205" s="63"/>
      <c r="O205" s="62"/>
      <c r="P205" s="63"/>
      <c r="Q205" s="62"/>
      <c r="R205" s="63"/>
      <c r="S205" s="62"/>
      <c r="T205" s="63"/>
      <c r="U205" s="62"/>
      <c r="V205" s="63"/>
      <c r="W205" s="62"/>
      <c r="X205" s="117"/>
      <c r="Y205" s="173"/>
      <c r="Z205" s="65"/>
    </row>
    <row r="206" ht="14.25" customHeight="1">
      <c r="B206" s="148"/>
      <c r="C206" s="144"/>
      <c r="D206" s="70" t="s">
        <v>1002</v>
      </c>
      <c r="E206" s="70"/>
      <c r="L206" s="61"/>
      <c r="M206" s="62"/>
      <c r="N206" s="63"/>
      <c r="O206" s="62"/>
      <c r="P206" s="63"/>
      <c r="Q206" s="62"/>
      <c r="R206" s="63"/>
      <c r="S206" s="62"/>
      <c r="T206" s="63"/>
      <c r="U206" s="62"/>
      <c r="V206" s="63"/>
      <c r="W206" s="62"/>
      <c r="X206" s="117"/>
      <c r="Y206" s="173"/>
      <c r="Z206" s="65"/>
    </row>
    <row r="207" ht="14.25" customHeight="1">
      <c r="B207" s="148"/>
      <c r="C207" s="144"/>
      <c r="D207" s="70" t="s">
        <v>985</v>
      </c>
      <c r="E207" s="70"/>
      <c r="L207" s="61"/>
      <c r="M207" s="62"/>
      <c r="N207" s="63"/>
      <c r="O207" s="62"/>
      <c r="P207" s="63"/>
      <c r="Q207" s="62"/>
      <c r="R207" s="63"/>
      <c r="S207" s="62"/>
      <c r="T207" s="63"/>
      <c r="U207" s="62"/>
      <c r="V207" s="63"/>
      <c r="W207" s="62"/>
      <c r="X207" s="117"/>
      <c r="Y207" s="173"/>
      <c r="Z207" s="65"/>
    </row>
    <row r="208" ht="14.25" customHeight="1">
      <c r="B208" s="148"/>
      <c r="C208" s="144"/>
      <c r="D208" s="70" t="s">
        <v>986</v>
      </c>
      <c r="E208" s="70"/>
      <c r="L208" s="61"/>
      <c r="M208" s="62"/>
      <c r="N208" s="63"/>
      <c r="O208" s="62"/>
      <c r="P208" s="63"/>
      <c r="Q208" s="62"/>
      <c r="R208" s="63"/>
      <c r="S208" s="62"/>
      <c r="T208" s="63"/>
      <c r="U208" s="62"/>
      <c r="V208" s="63"/>
      <c r="W208" s="62"/>
      <c r="X208" s="117"/>
      <c r="Y208" s="173"/>
      <c r="Z208" s="65"/>
    </row>
    <row r="209" ht="14.25" customHeight="1">
      <c r="B209" s="148"/>
      <c r="C209" s="144"/>
      <c r="D209" s="70" t="s">
        <v>995</v>
      </c>
      <c r="E209" s="70"/>
      <c r="L209" s="61"/>
      <c r="M209" s="62"/>
      <c r="N209" s="63"/>
      <c r="O209" s="62"/>
      <c r="P209" s="63"/>
      <c r="Q209" s="62"/>
      <c r="R209" s="63"/>
      <c r="S209" s="62"/>
      <c r="T209" s="63"/>
      <c r="U209" s="62"/>
      <c r="V209" s="63"/>
      <c r="W209" s="62"/>
      <c r="X209" s="117"/>
      <c r="Y209" s="173"/>
      <c r="Z209" s="65"/>
    </row>
    <row r="210" ht="14.25" customHeight="1">
      <c r="B210" s="148"/>
      <c r="C210" s="144"/>
      <c r="D210" s="70" t="s">
        <v>996</v>
      </c>
      <c r="E210" s="70"/>
      <c r="L210" s="61"/>
      <c r="M210" s="62"/>
      <c r="N210" s="63"/>
      <c r="O210" s="62"/>
      <c r="P210" s="63"/>
      <c r="Q210" s="62"/>
      <c r="R210" s="63"/>
      <c r="S210" s="62"/>
      <c r="T210" s="63"/>
      <c r="U210" s="62"/>
      <c r="V210" s="63"/>
      <c r="W210" s="62"/>
      <c r="X210" s="117"/>
      <c r="Y210" s="173"/>
      <c r="Z210" s="65"/>
    </row>
    <row r="211" ht="14.25" customHeight="1">
      <c r="B211" s="148"/>
      <c r="C211" s="144"/>
      <c r="D211" s="70" t="s">
        <v>1014</v>
      </c>
      <c r="E211" s="70"/>
      <c r="L211" s="61"/>
      <c r="M211" s="62"/>
      <c r="N211" s="63"/>
      <c r="O211" s="62"/>
      <c r="P211" s="63"/>
      <c r="Q211" s="62"/>
      <c r="R211" s="63"/>
      <c r="S211" s="62"/>
      <c r="T211" s="63"/>
      <c r="U211" s="62"/>
      <c r="V211" s="63"/>
      <c r="W211" s="62"/>
      <c r="X211" s="117"/>
      <c r="Y211" s="173"/>
      <c r="Z211" s="65"/>
    </row>
    <row r="212" ht="14.25" customHeight="1">
      <c r="B212" s="148"/>
      <c r="C212" s="144"/>
      <c r="D212" s="70" t="s">
        <v>998</v>
      </c>
      <c r="E212" s="70"/>
      <c r="L212" s="61"/>
      <c r="M212" s="62"/>
      <c r="N212" s="63"/>
      <c r="O212" s="62"/>
      <c r="P212" s="63"/>
      <c r="Q212" s="62"/>
      <c r="R212" s="63"/>
      <c r="S212" s="62"/>
      <c r="T212" s="63"/>
      <c r="U212" s="62"/>
      <c r="V212" s="63"/>
      <c r="W212" s="62"/>
      <c r="X212" s="117"/>
      <c r="Y212" s="173"/>
      <c r="Z212" s="65"/>
    </row>
    <row r="213" ht="14.25" customHeight="1">
      <c r="B213" s="148"/>
      <c r="C213" s="144"/>
      <c r="D213" s="70" t="s">
        <v>999</v>
      </c>
      <c r="E213" s="70"/>
      <c r="L213" s="61"/>
      <c r="M213" s="62"/>
      <c r="N213" s="63"/>
      <c r="O213" s="62"/>
      <c r="P213" s="63"/>
      <c r="Q213" s="62"/>
      <c r="R213" s="63"/>
      <c r="S213" s="62"/>
      <c r="T213" s="63"/>
      <c r="U213" s="62"/>
      <c r="V213" s="63"/>
      <c r="W213" s="62"/>
      <c r="X213" s="117"/>
      <c r="Y213" s="173"/>
      <c r="Z213" s="65"/>
    </row>
    <row r="214" ht="14.25" customHeight="1">
      <c r="B214" s="148"/>
      <c r="C214" s="144"/>
      <c r="D214" s="70"/>
      <c r="E214" s="70"/>
      <c r="L214" s="61"/>
      <c r="M214" s="62"/>
      <c r="N214" s="63"/>
      <c r="O214" s="62"/>
      <c r="P214" s="63"/>
      <c r="Q214" s="62"/>
      <c r="R214" s="63"/>
      <c r="S214" s="62"/>
      <c r="T214" s="63"/>
      <c r="U214" s="62"/>
      <c r="V214" s="63"/>
      <c r="W214" s="62"/>
      <c r="X214" s="117"/>
      <c r="Y214" s="173"/>
      <c r="Z214" s="65"/>
    </row>
    <row r="215" ht="14.25" customHeight="1">
      <c r="B215" s="69"/>
      <c r="C215" s="144"/>
      <c r="D215" s="144" t="s">
        <v>1015</v>
      </c>
      <c r="E215" s="144"/>
      <c r="L215" s="61"/>
      <c r="M215" s="62"/>
      <c r="N215" s="63"/>
      <c r="O215" s="62"/>
      <c r="P215" s="63"/>
      <c r="Q215" s="62"/>
      <c r="R215" s="63"/>
      <c r="S215" s="62"/>
      <c r="T215" s="63"/>
      <c r="U215" s="62"/>
      <c r="V215" s="63"/>
      <c r="W215" s="62"/>
      <c r="X215" s="117"/>
      <c r="Y215" s="173"/>
      <c r="Z215" s="65"/>
    </row>
    <row r="216" ht="14.25" customHeight="1">
      <c r="B216" s="148"/>
      <c r="C216" s="70"/>
      <c r="D216" s="70" t="s">
        <v>1016</v>
      </c>
      <c r="L216" s="61"/>
      <c r="M216" s="62"/>
      <c r="N216" s="63"/>
      <c r="O216" s="62"/>
      <c r="P216" s="63"/>
      <c r="Q216" s="62"/>
      <c r="R216" s="63"/>
      <c r="S216" s="62"/>
      <c r="T216" s="63"/>
      <c r="U216" s="62"/>
      <c r="V216" s="63"/>
      <c r="W216" s="62"/>
      <c r="X216" s="117"/>
      <c r="Y216" s="173"/>
      <c r="Z216" s="65"/>
    </row>
    <row r="217" ht="14.25" customHeight="1">
      <c r="B217" s="148"/>
      <c r="C217" s="144"/>
      <c r="D217" s="70" t="s">
        <v>1002</v>
      </c>
      <c r="E217" s="70"/>
      <c r="L217" s="61"/>
      <c r="M217" s="62"/>
      <c r="N217" s="63"/>
      <c r="O217" s="62"/>
      <c r="P217" s="63"/>
      <c r="Q217" s="62"/>
      <c r="R217" s="63"/>
      <c r="S217" s="62"/>
      <c r="T217" s="63"/>
      <c r="U217" s="62"/>
      <c r="V217" s="63"/>
      <c r="W217" s="62"/>
      <c r="X217" s="117"/>
      <c r="Y217" s="173"/>
      <c r="Z217" s="65"/>
    </row>
    <row r="218" ht="14.25" customHeight="1">
      <c r="B218" s="148"/>
      <c r="C218" s="144"/>
      <c r="D218" s="70" t="s">
        <v>985</v>
      </c>
      <c r="E218" s="70"/>
      <c r="L218" s="61"/>
      <c r="M218" s="62"/>
      <c r="N218" s="63"/>
      <c r="O218" s="62"/>
      <c r="P218" s="63"/>
      <c r="Q218" s="62"/>
      <c r="R218" s="63"/>
      <c r="S218" s="62"/>
      <c r="T218" s="63"/>
      <c r="U218" s="62"/>
      <c r="V218" s="63"/>
      <c r="W218" s="62"/>
      <c r="X218" s="117"/>
      <c r="Y218" s="173"/>
      <c r="Z218" s="65"/>
    </row>
    <row r="219" ht="14.25" customHeight="1">
      <c r="B219" s="148"/>
      <c r="C219" s="144"/>
      <c r="D219" s="70" t="s">
        <v>986</v>
      </c>
      <c r="E219" s="70"/>
      <c r="L219" s="61"/>
      <c r="M219" s="62"/>
      <c r="N219" s="63"/>
      <c r="O219" s="62"/>
      <c r="P219" s="63"/>
      <c r="Q219" s="62"/>
      <c r="R219" s="63"/>
      <c r="S219" s="62"/>
      <c r="T219" s="63"/>
      <c r="U219" s="62"/>
      <c r="V219" s="63"/>
      <c r="W219" s="62"/>
      <c r="X219" s="117"/>
      <c r="Y219" s="173"/>
      <c r="Z219" s="65"/>
    </row>
    <row r="220" ht="14.25" customHeight="1">
      <c r="B220" s="148"/>
      <c r="C220" s="144"/>
      <c r="D220" s="70" t="s">
        <v>995</v>
      </c>
      <c r="E220" s="70"/>
      <c r="L220" s="61"/>
      <c r="M220" s="62"/>
      <c r="N220" s="63"/>
      <c r="O220" s="62"/>
      <c r="P220" s="63"/>
      <c r="Q220" s="62"/>
      <c r="R220" s="63"/>
      <c r="S220" s="62"/>
      <c r="T220" s="63"/>
      <c r="U220" s="62"/>
      <c r="V220" s="63"/>
      <c r="W220" s="62"/>
      <c r="X220" s="117"/>
      <c r="Y220" s="173"/>
      <c r="Z220" s="65"/>
    </row>
    <row r="221" ht="14.25" customHeight="1">
      <c r="B221" s="148"/>
      <c r="C221" s="144"/>
      <c r="D221" s="70" t="s">
        <v>996</v>
      </c>
      <c r="E221" s="70"/>
      <c r="L221" s="61"/>
      <c r="M221" s="62"/>
      <c r="N221" s="63"/>
      <c r="O221" s="62"/>
      <c r="P221" s="63"/>
      <c r="Q221" s="62"/>
      <c r="R221" s="63"/>
      <c r="S221" s="62"/>
      <c r="T221" s="63"/>
      <c r="U221" s="62"/>
      <c r="V221" s="63"/>
      <c r="W221" s="62"/>
      <c r="X221" s="117"/>
      <c r="Y221" s="173"/>
      <c r="Z221" s="65"/>
    </row>
    <row r="222" ht="14.25" customHeight="1">
      <c r="B222" s="148"/>
      <c r="C222" s="144"/>
      <c r="D222" s="70" t="s">
        <v>997</v>
      </c>
      <c r="E222" s="70"/>
      <c r="L222" s="61"/>
      <c r="M222" s="62"/>
      <c r="N222" s="63"/>
      <c r="O222" s="62"/>
      <c r="P222" s="63"/>
      <c r="Q222" s="62"/>
      <c r="R222" s="63"/>
      <c r="S222" s="62"/>
      <c r="T222" s="63"/>
      <c r="U222" s="62"/>
      <c r="V222" s="63"/>
      <c r="W222" s="62"/>
      <c r="X222" s="117"/>
      <c r="Y222" s="173"/>
      <c r="Z222" s="65"/>
    </row>
    <row r="223" ht="14.25" customHeight="1">
      <c r="B223" s="148"/>
      <c r="C223" s="144"/>
      <c r="D223" s="70" t="s">
        <v>998</v>
      </c>
      <c r="E223" s="70"/>
      <c r="L223" s="61"/>
      <c r="M223" s="62"/>
      <c r="N223" s="63"/>
      <c r="O223" s="62"/>
      <c r="P223" s="63"/>
      <c r="Q223" s="62"/>
      <c r="R223" s="63"/>
      <c r="S223" s="62"/>
      <c r="T223" s="63"/>
      <c r="U223" s="62"/>
      <c r="V223" s="63"/>
      <c r="W223" s="62"/>
      <c r="X223" s="117"/>
      <c r="Y223" s="173"/>
      <c r="Z223" s="65"/>
    </row>
    <row r="224" ht="14.25" customHeight="1">
      <c r="B224" s="148"/>
      <c r="C224" s="144"/>
      <c r="D224" s="70" t="s">
        <v>999</v>
      </c>
      <c r="E224" s="70"/>
      <c r="L224" s="61"/>
      <c r="M224" s="62"/>
      <c r="N224" s="63"/>
      <c r="O224" s="62"/>
      <c r="P224" s="63"/>
      <c r="Q224" s="62"/>
      <c r="R224" s="63"/>
      <c r="S224" s="62"/>
      <c r="T224" s="63"/>
      <c r="U224" s="62"/>
      <c r="V224" s="63"/>
      <c r="W224" s="62"/>
      <c r="X224" s="117"/>
      <c r="Y224" s="173"/>
      <c r="Z224" s="65"/>
    </row>
    <row r="225" ht="14.25" customHeight="1">
      <c r="B225" s="148"/>
      <c r="C225" s="144"/>
      <c r="D225" s="70"/>
      <c r="E225" s="70"/>
      <c r="L225" s="61"/>
      <c r="M225" s="62"/>
      <c r="N225" s="63"/>
      <c r="O225" s="62"/>
      <c r="P225" s="63"/>
      <c r="Q225" s="62"/>
      <c r="R225" s="63"/>
      <c r="S225" s="62"/>
      <c r="T225" s="63"/>
      <c r="U225" s="62"/>
      <c r="V225" s="63"/>
      <c r="W225" s="62"/>
      <c r="X225" s="117"/>
      <c r="Y225" s="173"/>
      <c r="Z225" s="65"/>
    </row>
    <row r="226" ht="14.25" customHeight="1">
      <c r="B226" s="69"/>
      <c r="C226" s="144"/>
      <c r="D226" s="144" t="s">
        <v>1018</v>
      </c>
      <c r="E226" s="144"/>
      <c r="L226" s="61"/>
      <c r="M226" s="62"/>
      <c r="N226" s="63"/>
      <c r="O226" s="62"/>
      <c r="P226" s="63"/>
      <c r="Q226" s="62"/>
      <c r="R226" s="63"/>
      <c r="S226" s="62"/>
      <c r="T226" s="63"/>
      <c r="U226" s="62"/>
      <c r="V226" s="63"/>
      <c r="W226" s="62"/>
      <c r="X226" s="117"/>
      <c r="Y226" s="173"/>
      <c r="Z226" s="65"/>
    </row>
    <row r="227" ht="14.25" customHeight="1">
      <c r="B227" s="148"/>
      <c r="C227" s="70"/>
      <c r="D227" s="70" t="s">
        <v>1019</v>
      </c>
      <c r="L227" s="61"/>
      <c r="M227" s="62"/>
      <c r="N227" s="63"/>
      <c r="O227" s="62"/>
      <c r="P227" s="63"/>
      <c r="Q227" s="62"/>
      <c r="R227" s="63"/>
      <c r="S227" s="62"/>
      <c r="T227" s="63"/>
      <c r="U227" s="62"/>
      <c r="V227" s="63"/>
      <c r="W227" s="62"/>
      <c r="X227" s="117"/>
      <c r="Y227" s="173"/>
      <c r="Z227" s="65"/>
    </row>
    <row r="228" ht="14.25" customHeight="1">
      <c r="B228" s="148"/>
      <c r="C228" s="144"/>
      <c r="D228" s="70" t="s">
        <v>1002</v>
      </c>
      <c r="E228" s="70"/>
      <c r="L228" s="61"/>
      <c r="M228" s="62"/>
      <c r="N228" s="63"/>
      <c r="O228" s="62"/>
      <c r="P228" s="63"/>
      <c r="Q228" s="62"/>
      <c r="R228" s="63"/>
      <c r="S228" s="62"/>
      <c r="T228" s="63"/>
      <c r="U228" s="62"/>
      <c r="V228" s="63"/>
      <c r="W228" s="62"/>
      <c r="X228" s="117"/>
      <c r="Y228" s="173"/>
      <c r="Z228" s="65"/>
    </row>
    <row r="229" ht="14.25" customHeight="1">
      <c r="B229" s="148"/>
      <c r="C229" s="144"/>
      <c r="D229" s="70" t="s">
        <v>985</v>
      </c>
      <c r="E229" s="70"/>
      <c r="L229" s="61"/>
      <c r="M229" s="62"/>
      <c r="N229" s="63"/>
      <c r="O229" s="62"/>
      <c r="P229" s="63"/>
      <c r="Q229" s="62"/>
      <c r="R229" s="63"/>
      <c r="S229" s="62"/>
      <c r="T229" s="63"/>
      <c r="U229" s="62"/>
      <c r="V229" s="63"/>
      <c r="W229" s="62"/>
      <c r="X229" s="117"/>
      <c r="Y229" s="173"/>
      <c r="Z229" s="65"/>
    </row>
    <row r="230" ht="14.25" customHeight="1">
      <c r="B230" s="148"/>
      <c r="C230" s="144"/>
      <c r="D230" s="70" t="s">
        <v>986</v>
      </c>
      <c r="E230" s="70"/>
      <c r="L230" s="61"/>
      <c r="M230" s="62"/>
      <c r="N230" s="63"/>
      <c r="O230" s="62"/>
      <c r="P230" s="63"/>
      <c r="Q230" s="62"/>
      <c r="R230" s="63"/>
      <c r="S230" s="62"/>
      <c r="T230" s="63"/>
      <c r="U230" s="62"/>
      <c r="V230" s="63"/>
      <c r="W230" s="62"/>
      <c r="X230" s="117"/>
      <c r="Y230" s="173"/>
      <c r="Z230" s="65"/>
    </row>
    <row r="231" ht="14.25" customHeight="1">
      <c r="B231" s="148"/>
      <c r="C231" s="144"/>
      <c r="D231" s="70" t="s">
        <v>995</v>
      </c>
      <c r="E231" s="70"/>
      <c r="L231" s="61"/>
      <c r="M231" s="62"/>
      <c r="N231" s="63"/>
      <c r="O231" s="62"/>
      <c r="P231" s="63"/>
      <c r="Q231" s="62"/>
      <c r="R231" s="63"/>
      <c r="S231" s="62"/>
      <c r="T231" s="63"/>
      <c r="U231" s="62"/>
      <c r="V231" s="63"/>
      <c r="W231" s="62"/>
      <c r="X231" s="117"/>
      <c r="Y231" s="173"/>
      <c r="Z231" s="65"/>
    </row>
    <row r="232" ht="14.25" customHeight="1">
      <c r="B232" s="148"/>
      <c r="C232" s="144"/>
      <c r="D232" s="70" t="s">
        <v>996</v>
      </c>
      <c r="E232" s="70"/>
      <c r="L232" s="61"/>
      <c r="M232" s="62"/>
      <c r="N232" s="63"/>
      <c r="O232" s="62"/>
      <c r="P232" s="63"/>
      <c r="Q232" s="62"/>
      <c r="R232" s="63"/>
      <c r="S232" s="62"/>
      <c r="T232" s="63"/>
      <c r="U232" s="62"/>
      <c r="V232" s="63"/>
      <c r="W232" s="62"/>
      <c r="X232" s="117"/>
      <c r="Y232" s="173"/>
      <c r="Z232" s="65"/>
    </row>
    <row r="233" ht="14.25" customHeight="1">
      <c r="B233" s="148"/>
      <c r="C233" s="144"/>
      <c r="D233" s="70" t="s">
        <v>997</v>
      </c>
      <c r="E233" s="70"/>
      <c r="L233" s="61"/>
      <c r="M233" s="62"/>
      <c r="N233" s="63"/>
      <c r="O233" s="62"/>
      <c r="P233" s="63"/>
      <c r="Q233" s="62"/>
      <c r="R233" s="63"/>
      <c r="S233" s="62"/>
      <c r="T233" s="63"/>
      <c r="U233" s="62"/>
      <c r="V233" s="63"/>
      <c r="W233" s="62"/>
      <c r="X233" s="117"/>
      <c r="Y233" s="173"/>
      <c r="Z233" s="65"/>
    </row>
    <row r="234" ht="14.25" customHeight="1">
      <c r="B234" s="148"/>
      <c r="C234" s="144"/>
      <c r="D234" s="70" t="s">
        <v>998</v>
      </c>
      <c r="E234" s="70"/>
      <c r="L234" s="61"/>
      <c r="M234" s="62"/>
      <c r="N234" s="63"/>
      <c r="O234" s="62"/>
      <c r="P234" s="63"/>
      <c r="Q234" s="62"/>
      <c r="R234" s="63"/>
      <c r="S234" s="62"/>
      <c r="T234" s="63"/>
      <c r="U234" s="62"/>
      <c r="V234" s="63"/>
      <c r="W234" s="62"/>
      <c r="X234" s="117"/>
      <c r="Y234" s="173"/>
      <c r="Z234" s="65"/>
    </row>
    <row r="235" ht="14.25" customHeight="1">
      <c r="B235" s="148"/>
      <c r="C235" s="144"/>
      <c r="D235" s="70" t="s">
        <v>999</v>
      </c>
      <c r="E235" s="70"/>
      <c r="L235" s="61"/>
      <c r="M235" s="62"/>
      <c r="N235" s="63"/>
      <c r="O235" s="62"/>
      <c r="P235" s="63"/>
      <c r="Q235" s="62"/>
      <c r="R235" s="63"/>
      <c r="S235" s="62"/>
      <c r="T235" s="63"/>
      <c r="U235" s="62"/>
      <c r="V235" s="63"/>
      <c r="W235" s="62"/>
      <c r="X235" s="117"/>
      <c r="Y235" s="173"/>
      <c r="Z235" s="65"/>
    </row>
    <row r="236" ht="14.25" customHeight="1">
      <c r="B236" s="148"/>
      <c r="C236" s="144"/>
      <c r="D236" s="70"/>
      <c r="E236" s="70"/>
      <c r="L236" s="61"/>
      <c r="M236" s="62"/>
      <c r="N236" s="63"/>
      <c r="O236" s="62"/>
      <c r="P236" s="63"/>
      <c r="Q236" s="62"/>
      <c r="R236" s="63"/>
      <c r="S236" s="62"/>
      <c r="T236" s="63"/>
      <c r="U236" s="62"/>
      <c r="V236" s="63"/>
      <c r="W236" s="62"/>
      <c r="X236" s="117"/>
      <c r="Y236" s="173"/>
      <c r="Z236" s="65"/>
    </row>
    <row r="237" ht="14.25" customHeight="1">
      <c r="B237" s="556" t="s">
        <v>1023</v>
      </c>
      <c r="C237" s="144"/>
      <c r="D237" s="70"/>
      <c r="E237" s="70"/>
      <c r="L237" s="61"/>
      <c r="M237" s="62"/>
      <c r="N237" s="63"/>
      <c r="O237" s="62"/>
      <c r="P237" s="63"/>
      <c r="Q237" s="62"/>
      <c r="R237" s="63"/>
      <c r="S237" s="62"/>
      <c r="T237" s="63"/>
      <c r="U237" s="62"/>
      <c r="V237" s="63"/>
      <c r="W237" s="62"/>
      <c r="X237" s="117"/>
      <c r="Y237" s="173"/>
      <c r="Z237" s="65"/>
    </row>
    <row r="238" ht="14.25" customHeight="1">
      <c r="B238" s="148"/>
      <c r="C238" s="144"/>
      <c r="D238" s="70"/>
      <c r="E238" s="70"/>
      <c r="L238" s="61"/>
      <c r="M238" s="62"/>
      <c r="N238" s="63"/>
      <c r="O238" s="62"/>
      <c r="P238" s="63"/>
      <c r="Q238" s="62"/>
      <c r="R238" s="63"/>
      <c r="S238" s="62"/>
      <c r="T238" s="63"/>
      <c r="U238" s="62"/>
      <c r="V238" s="63"/>
      <c r="W238" s="62"/>
      <c r="X238" s="117"/>
      <c r="Y238" s="173"/>
      <c r="Z238" s="65"/>
    </row>
    <row r="239" ht="14.25" customHeight="1">
      <c r="B239" s="557" t="s">
        <v>1024</v>
      </c>
      <c r="C239" s="558" t="s">
        <v>866</v>
      </c>
      <c r="D239" s="194" t="s">
        <v>1025</v>
      </c>
      <c r="E239" s="183"/>
      <c r="L239" s="61"/>
      <c r="M239" s="62"/>
      <c r="N239" s="63"/>
      <c r="O239" s="62"/>
      <c r="P239" s="63"/>
      <c r="Q239" s="62"/>
      <c r="R239" s="63"/>
      <c r="S239" s="62"/>
      <c r="T239" s="63"/>
      <c r="U239" s="62"/>
      <c r="V239" s="63"/>
      <c r="W239" s="62"/>
      <c r="X239" s="117"/>
      <c r="Y239" s="173"/>
      <c r="Z239" s="65"/>
    </row>
    <row r="240" ht="14.25" customHeight="1">
      <c r="B240" s="148"/>
      <c r="C240" s="183"/>
      <c r="D240" s="154" t="s">
        <v>1026</v>
      </c>
      <c r="L240" s="61"/>
      <c r="M240" s="62"/>
      <c r="N240" s="63"/>
      <c r="O240" s="62"/>
      <c r="P240" s="63"/>
      <c r="Q240" s="62"/>
      <c r="R240" s="505"/>
      <c r="S240" s="62">
        <v>18.0</v>
      </c>
      <c r="T240" s="63">
        <v>120.0</v>
      </c>
      <c r="U240" s="62">
        <v>744.0</v>
      </c>
      <c r="V240" s="63">
        <v>1411.0</v>
      </c>
      <c r="W240" s="62"/>
      <c r="X240" s="117"/>
      <c r="Y240" s="173"/>
      <c r="Z240" s="65"/>
    </row>
    <row r="241" ht="14.25" customHeight="1">
      <c r="B241" s="148"/>
      <c r="C241" s="183"/>
      <c r="D241" s="154" t="s">
        <v>1027</v>
      </c>
      <c r="L241" s="61"/>
      <c r="M241" s="62"/>
      <c r="N241" s="63"/>
      <c r="O241" s="62"/>
      <c r="P241" s="63"/>
      <c r="Q241" s="62"/>
      <c r="R241" s="40"/>
      <c r="S241" s="62">
        <v>11.0</v>
      </c>
      <c r="T241" s="63">
        <v>759.0</v>
      </c>
      <c r="U241" s="62">
        <v>2143.0</v>
      </c>
      <c r="V241" s="63">
        <v>7347.0</v>
      </c>
      <c r="W241" s="62"/>
      <c r="X241" s="117"/>
      <c r="Y241" s="173"/>
      <c r="Z241" s="65"/>
    </row>
    <row r="242" ht="14.25" customHeight="1">
      <c r="B242" s="148"/>
      <c r="C242" s="183"/>
      <c r="D242" s="154" t="s">
        <v>1028</v>
      </c>
      <c r="L242" s="61"/>
      <c r="M242" s="62"/>
      <c r="N242" s="63"/>
      <c r="O242" s="62"/>
      <c r="P242" s="63"/>
      <c r="Q242" s="62"/>
      <c r="R242" s="40"/>
      <c r="S242" s="62">
        <v>267.0</v>
      </c>
      <c r="T242" s="63">
        <v>1924.0</v>
      </c>
      <c r="U242" s="62">
        <v>7729.0</v>
      </c>
      <c r="V242" s="63">
        <v>10057.0</v>
      </c>
      <c r="W242" s="62"/>
      <c r="X242" s="117"/>
      <c r="Y242" s="173"/>
      <c r="Z242" s="65"/>
    </row>
    <row r="243" ht="14.25" customHeight="1">
      <c r="B243" s="148"/>
      <c r="C243" s="183"/>
      <c r="D243" s="154" t="s">
        <v>1029</v>
      </c>
      <c r="L243" s="61"/>
      <c r="M243" s="62"/>
      <c r="N243" s="63"/>
      <c r="O243" s="62"/>
      <c r="P243" s="63"/>
      <c r="Q243" s="62"/>
      <c r="R243" s="40"/>
      <c r="S243" s="62"/>
      <c r="T243" s="63"/>
      <c r="U243" s="62"/>
      <c r="V243" s="63"/>
      <c r="W243" s="62"/>
      <c r="X243" s="117"/>
      <c r="Y243" s="173"/>
      <c r="Z243" s="65"/>
    </row>
    <row r="244" ht="14.25" customHeight="1">
      <c r="B244" s="148"/>
      <c r="C244" s="183"/>
      <c r="D244" s="154" t="s">
        <v>1030</v>
      </c>
      <c r="L244" s="61"/>
      <c r="M244" s="62"/>
      <c r="N244" s="63"/>
      <c r="O244" s="62"/>
      <c r="P244" s="63"/>
      <c r="Q244" s="62"/>
      <c r="R244" s="40"/>
      <c r="S244" s="62">
        <v>29.0</v>
      </c>
      <c r="T244" s="63">
        <v>269.0</v>
      </c>
      <c r="U244" s="62">
        <v>9.0</v>
      </c>
      <c r="V244" s="63">
        <v>1610.0</v>
      </c>
      <c r="W244" s="62"/>
      <c r="X244" s="117"/>
      <c r="Y244" s="173"/>
      <c r="Z244" s="65"/>
    </row>
    <row r="245" ht="14.25" customHeight="1">
      <c r="B245" s="148"/>
      <c r="C245" s="183"/>
      <c r="D245" s="154" t="s">
        <v>1031</v>
      </c>
      <c r="L245" s="61"/>
      <c r="M245" s="62"/>
      <c r="N245" s="63"/>
      <c r="O245" s="62"/>
      <c r="P245" s="63"/>
      <c r="Q245" s="62"/>
      <c r="R245" s="90"/>
      <c r="S245" s="62"/>
      <c r="T245" s="63"/>
      <c r="U245" s="62"/>
      <c r="V245" s="63"/>
      <c r="W245" s="62"/>
      <c r="X245" s="117"/>
      <c r="Y245" s="173"/>
      <c r="Z245" s="65"/>
    </row>
    <row r="246" ht="14.25" customHeight="1">
      <c r="B246" s="148"/>
      <c r="C246" s="183"/>
      <c r="D246" s="77"/>
      <c r="E246" s="77"/>
      <c r="L246" s="61"/>
      <c r="M246" s="62"/>
      <c r="N246" s="63"/>
      <c r="O246" s="62"/>
      <c r="P246" s="63"/>
      <c r="Q246" s="62"/>
      <c r="R246" s="63"/>
      <c r="S246" s="62"/>
      <c r="T246" s="63"/>
      <c r="U246" s="62"/>
      <c r="V246" s="63"/>
      <c r="W246" s="62"/>
      <c r="X246" s="117"/>
      <c r="Y246" s="173"/>
      <c r="Z246" s="65"/>
    </row>
    <row r="247" ht="14.25" customHeight="1">
      <c r="B247" s="148"/>
      <c r="C247" s="555" t="s">
        <v>906</v>
      </c>
      <c r="D247" s="183" t="s">
        <v>1032</v>
      </c>
      <c r="E247" s="183"/>
      <c r="L247" s="61"/>
      <c r="M247" s="62"/>
      <c r="N247" s="63"/>
      <c r="O247" s="62"/>
      <c r="P247" s="63"/>
      <c r="Q247" s="62"/>
      <c r="R247" s="63"/>
      <c r="S247" s="62"/>
      <c r="T247" s="63"/>
      <c r="U247" s="62"/>
      <c r="V247" s="63"/>
      <c r="W247" s="62"/>
      <c r="X247" s="117"/>
      <c r="Y247" s="173"/>
      <c r="Z247" s="65"/>
    </row>
    <row r="248" ht="14.25" customHeight="1">
      <c r="B248" s="148"/>
      <c r="C248" s="183"/>
      <c r="D248" s="154" t="s">
        <v>1026</v>
      </c>
      <c r="L248" s="61"/>
      <c r="M248" s="62"/>
      <c r="N248" s="63"/>
      <c r="O248" s="62"/>
      <c r="P248" s="63"/>
      <c r="Q248" s="62"/>
      <c r="R248" s="63"/>
      <c r="S248" s="62"/>
      <c r="T248" s="63"/>
      <c r="U248" s="62"/>
      <c r="V248" s="63"/>
      <c r="W248" s="62"/>
      <c r="X248" s="117"/>
      <c r="Y248" s="173"/>
      <c r="Z248" s="65"/>
    </row>
    <row r="249" ht="14.25" customHeight="1">
      <c r="B249" s="148"/>
      <c r="C249" s="183"/>
      <c r="D249" s="70" t="s">
        <v>915</v>
      </c>
      <c r="L249" s="61"/>
      <c r="M249" s="62"/>
      <c r="N249" s="63"/>
      <c r="O249" s="62"/>
      <c r="P249" s="63"/>
      <c r="Q249" s="62"/>
      <c r="R249" s="63"/>
      <c r="S249" s="62">
        <v>0.0</v>
      </c>
      <c r="T249" s="63">
        <v>0.0</v>
      </c>
      <c r="U249" s="62">
        <v>0.0</v>
      </c>
      <c r="V249" s="63">
        <v>0.0</v>
      </c>
      <c r="W249" s="62"/>
      <c r="X249" s="117"/>
      <c r="Y249" s="173"/>
      <c r="Z249" s="65"/>
    </row>
    <row r="250" ht="14.25" customHeight="1">
      <c r="B250" s="148"/>
      <c r="C250" s="183"/>
      <c r="D250" s="70" t="s">
        <v>908</v>
      </c>
      <c r="L250" s="61"/>
      <c r="M250" s="62"/>
      <c r="N250" s="63"/>
      <c r="O250" s="62"/>
      <c r="P250" s="63"/>
      <c r="Q250" s="62"/>
      <c r="R250" s="63"/>
      <c r="S250" s="62">
        <v>2.0</v>
      </c>
      <c r="T250" s="63">
        <v>25.0</v>
      </c>
      <c r="U250" s="62">
        <v>45.0</v>
      </c>
      <c r="V250" s="63">
        <v>529.0</v>
      </c>
      <c r="W250" s="62"/>
      <c r="X250" s="117"/>
      <c r="Y250" s="173"/>
      <c r="Z250" s="65"/>
    </row>
    <row r="251" ht="14.25" customHeight="1">
      <c r="B251" s="148"/>
      <c r="C251" s="183"/>
      <c r="D251" s="70" t="s">
        <v>909</v>
      </c>
      <c r="L251" s="61"/>
      <c r="M251" s="62"/>
      <c r="N251" s="63"/>
      <c r="O251" s="62"/>
      <c r="P251" s="63"/>
      <c r="Q251" s="62"/>
      <c r="R251" s="63"/>
      <c r="S251" s="62">
        <v>7.0</v>
      </c>
      <c r="T251" s="63">
        <v>2.0</v>
      </c>
      <c r="U251" s="62">
        <v>5.0</v>
      </c>
      <c r="V251" s="63">
        <v>2.0</v>
      </c>
      <c r="W251" s="62"/>
      <c r="X251" s="117"/>
      <c r="Y251" s="173"/>
      <c r="Z251" s="65"/>
    </row>
    <row r="252" ht="14.25" customHeight="1">
      <c r="B252" s="148"/>
      <c r="C252" s="183"/>
      <c r="D252" s="91" t="s">
        <v>910</v>
      </c>
      <c r="L252" s="61"/>
      <c r="M252" s="62"/>
      <c r="N252" s="63"/>
      <c r="O252" s="62"/>
      <c r="P252" s="63"/>
      <c r="Q252" s="62"/>
      <c r="R252" s="63"/>
      <c r="S252" s="62">
        <v>0.0</v>
      </c>
      <c r="T252" s="63">
        <v>21.0</v>
      </c>
      <c r="U252" s="62">
        <v>11.0</v>
      </c>
      <c r="V252" s="63">
        <v>3.0</v>
      </c>
      <c r="W252" s="62"/>
      <c r="X252" s="117"/>
      <c r="Y252" s="173"/>
      <c r="Z252" s="65"/>
    </row>
    <row r="253" ht="14.25" customHeight="1">
      <c r="B253" s="148"/>
      <c r="C253" s="183"/>
      <c r="D253" s="91" t="s">
        <v>913</v>
      </c>
      <c r="L253" s="61"/>
      <c r="M253" s="62"/>
      <c r="N253" s="63"/>
      <c r="O253" s="62"/>
      <c r="P253" s="63"/>
      <c r="Q253" s="62"/>
      <c r="R253" s="63"/>
      <c r="S253" s="62">
        <v>0.0</v>
      </c>
      <c r="T253" s="63">
        <v>0.0</v>
      </c>
      <c r="U253" s="62">
        <v>0.0</v>
      </c>
      <c r="V253" s="63">
        <v>0.0</v>
      </c>
      <c r="W253" s="62"/>
      <c r="X253" s="117"/>
      <c r="Y253" s="173"/>
      <c r="Z253" s="65"/>
    </row>
    <row r="254" ht="14.25" customHeight="1">
      <c r="B254" s="148"/>
      <c r="C254" s="183"/>
      <c r="D254" s="91" t="s">
        <v>1033</v>
      </c>
      <c r="L254" s="61"/>
      <c r="M254" s="62"/>
      <c r="N254" s="63"/>
      <c r="O254" s="62"/>
      <c r="P254" s="63"/>
      <c r="Q254" s="62"/>
      <c r="R254" s="63"/>
      <c r="S254" s="62">
        <v>0.0</v>
      </c>
      <c r="T254" s="63">
        <v>73.0</v>
      </c>
      <c r="U254" s="62">
        <v>679.0</v>
      </c>
      <c r="V254" s="63">
        <v>875.0</v>
      </c>
      <c r="W254" s="62"/>
      <c r="X254" s="117"/>
      <c r="Y254" s="173"/>
      <c r="Z254" s="65"/>
    </row>
    <row r="255" ht="14.25" customHeight="1">
      <c r="B255" s="148"/>
      <c r="C255" s="183"/>
      <c r="D255" s="91" t="s">
        <v>961</v>
      </c>
      <c r="L255" s="61"/>
      <c r="M255" s="62"/>
      <c r="N255" s="63"/>
      <c r="O255" s="62"/>
      <c r="P255" s="63"/>
      <c r="Q255" s="62"/>
      <c r="R255" s="63"/>
      <c r="S255" s="62">
        <v>1.0</v>
      </c>
      <c r="T255" s="63">
        <v>0.0</v>
      </c>
      <c r="U255" s="62">
        <v>0.0</v>
      </c>
      <c r="V255" s="63">
        <v>0.0</v>
      </c>
      <c r="W255" s="62"/>
      <c r="X255" s="117"/>
      <c r="Y255" s="89"/>
      <c r="Z255" s="65"/>
    </row>
    <row r="256" ht="14.25" customHeight="1">
      <c r="B256" s="148"/>
      <c r="C256" s="183"/>
      <c r="D256" s="91" t="s">
        <v>963</v>
      </c>
      <c r="L256" s="61"/>
      <c r="M256" s="62"/>
      <c r="N256" s="63"/>
      <c r="O256" s="62"/>
      <c r="P256" s="63"/>
      <c r="Q256" s="62"/>
      <c r="R256" s="63"/>
      <c r="S256" s="62">
        <v>8.0</v>
      </c>
      <c r="T256" s="63">
        <v>2.0</v>
      </c>
      <c r="U256" s="62">
        <v>4.0</v>
      </c>
      <c r="V256" s="63">
        <v>2.0</v>
      </c>
      <c r="W256" s="62"/>
      <c r="X256" s="117"/>
      <c r="Y256" s="89"/>
      <c r="Z256" s="65"/>
    </row>
    <row r="257" ht="15.75" customHeight="1">
      <c r="B257" s="148"/>
      <c r="C257" s="183"/>
      <c r="D257" s="70"/>
      <c r="E257" s="118" t="s">
        <v>923</v>
      </c>
      <c r="L257" s="61"/>
      <c r="M257" s="62"/>
      <c r="N257" s="63"/>
      <c r="O257" s="62"/>
      <c r="P257" s="63"/>
      <c r="Q257" s="62"/>
      <c r="R257" s="63"/>
      <c r="S257" s="62">
        <v>2.0</v>
      </c>
      <c r="T257" s="63">
        <v>2.0</v>
      </c>
      <c r="U257" s="62">
        <v>4.0</v>
      </c>
      <c r="V257" s="63">
        <v>2.0</v>
      </c>
      <c r="W257" s="62"/>
      <c r="X257" s="117"/>
      <c r="Y257" s="173"/>
      <c r="Z257" s="65"/>
    </row>
    <row r="258" ht="14.25" customHeight="1">
      <c r="B258" s="148"/>
      <c r="C258" s="183"/>
      <c r="D258" s="70"/>
      <c r="E258" s="118" t="s">
        <v>1215</v>
      </c>
      <c r="L258" s="61"/>
      <c r="M258" s="62"/>
      <c r="N258" s="63"/>
      <c r="O258" s="62"/>
      <c r="P258" s="63"/>
      <c r="Q258" s="62"/>
      <c r="R258" s="63"/>
      <c r="S258" s="62">
        <v>6.0</v>
      </c>
      <c r="T258" s="63">
        <v>0.0</v>
      </c>
      <c r="U258" s="62">
        <v>0.0</v>
      </c>
      <c r="V258" s="63">
        <v>0.0</v>
      </c>
      <c r="W258" s="62"/>
      <c r="X258" s="117"/>
      <c r="Y258" s="173"/>
      <c r="Z258" s="65"/>
    </row>
    <row r="259" ht="14.25" customHeight="1">
      <c r="B259" s="148"/>
      <c r="C259" s="183"/>
      <c r="D259" s="77"/>
      <c r="E259" s="77"/>
      <c r="L259" s="61"/>
      <c r="M259" s="62"/>
      <c r="N259" s="63"/>
      <c r="O259" s="62"/>
      <c r="P259" s="63"/>
      <c r="Q259" s="62"/>
      <c r="R259" s="63"/>
      <c r="S259" s="62"/>
      <c r="T259" s="63"/>
      <c r="U259" s="62"/>
      <c r="V259" s="63"/>
      <c r="W259" s="62"/>
      <c r="X259" s="117"/>
      <c r="Y259" s="173"/>
      <c r="Z259" s="65"/>
    </row>
    <row r="260" ht="14.25" customHeight="1">
      <c r="B260" s="148"/>
      <c r="C260" s="183"/>
      <c r="D260" s="77"/>
      <c r="E260" s="77"/>
      <c r="L260" s="61"/>
      <c r="M260" s="62"/>
      <c r="N260" s="63"/>
      <c r="O260" s="62"/>
      <c r="P260" s="63"/>
      <c r="Q260" s="62"/>
      <c r="R260" s="63"/>
      <c r="S260" s="62"/>
      <c r="T260" s="63"/>
      <c r="U260" s="62"/>
      <c r="V260" s="63"/>
      <c r="W260" s="62"/>
      <c r="X260" s="117"/>
      <c r="Y260" s="173"/>
      <c r="Z260" s="65"/>
    </row>
    <row r="261" ht="14.25" customHeight="1">
      <c r="B261" s="148"/>
      <c r="C261" s="183"/>
      <c r="D261" s="154" t="s">
        <v>1027</v>
      </c>
      <c r="E261" s="77"/>
      <c r="L261" s="61"/>
      <c r="M261" s="62"/>
      <c r="N261" s="63"/>
      <c r="O261" s="62"/>
      <c r="P261" s="63"/>
      <c r="Q261" s="62"/>
      <c r="R261" s="63"/>
      <c r="S261" s="62"/>
      <c r="T261" s="63"/>
      <c r="U261" s="62"/>
      <c r="V261" s="63"/>
      <c r="W261" s="62"/>
      <c r="X261" s="117"/>
      <c r="Y261" s="173"/>
      <c r="Z261" s="65"/>
    </row>
    <row r="262" ht="14.25" customHeight="1">
      <c r="B262" s="148"/>
      <c r="C262" s="183"/>
      <c r="D262" s="70" t="s">
        <v>915</v>
      </c>
      <c r="E262" s="233"/>
      <c r="L262" s="61"/>
      <c r="M262" s="62"/>
      <c r="N262" s="63"/>
      <c r="O262" s="62"/>
      <c r="P262" s="63"/>
      <c r="Q262" s="62"/>
      <c r="R262" s="63"/>
      <c r="S262" s="62">
        <v>0.0</v>
      </c>
      <c r="T262" s="63">
        <v>0.0</v>
      </c>
      <c r="U262" s="62">
        <v>0.0</v>
      </c>
      <c r="V262" s="63">
        <v>0.0</v>
      </c>
      <c r="W262" s="62"/>
      <c r="X262" s="117"/>
      <c r="Y262" s="173"/>
      <c r="Z262" s="65"/>
    </row>
    <row r="263" ht="14.25" customHeight="1">
      <c r="B263" s="148"/>
      <c r="C263" s="183"/>
      <c r="D263" s="70" t="s">
        <v>908</v>
      </c>
      <c r="E263" s="77"/>
      <c r="L263" s="61"/>
      <c r="M263" s="62"/>
      <c r="N263" s="63"/>
      <c r="O263" s="62"/>
      <c r="P263" s="63"/>
      <c r="Q263" s="62"/>
      <c r="R263" s="63"/>
      <c r="S263" s="62">
        <v>0.0</v>
      </c>
      <c r="T263" s="63">
        <v>44.0</v>
      </c>
      <c r="U263" s="62">
        <v>205.0</v>
      </c>
      <c r="V263" s="63">
        <v>349.0</v>
      </c>
      <c r="W263" s="62"/>
      <c r="X263" s="117"/>
      <c r="Y263" s="173"/>
      <c r="Z263" s="65"/>
    </row>
    <row r="264" ht="14.25" customHeight="1">
      <c r="B264" s="148"/>
      <c r="C264" s="183"/>
      <c r="D264" s="91" t="s">
        <v>909</v>
      </c>
      <c r="E264" s="233"/>
      <c r="L264" s="61"/>
      <c r="M264" s="62"/>
      <c r="N264" s="63"/>
      <c r="O264" s="62"/>
      <c r="P264" s="63"/>
      <c r="Q264" s="62"/>
      <c r="R264" s="63"/>
      <c r="S264" s="62">
        <v>0.0</v>
      </c>
      <c r="T264" s="63">
        <v>4.0</v>
      </c>
      <c r="U264" s="62">
        <v>49.0</v>
      </c>
      <c r="V264" s="63">
        <v>45.0</v>
      </c>
      <c r="W264" s="62"/>
      <c r="X264" s="117"/>
      <c r="Y264" s="173"/>
      <c r="Z264" s="65"/>
    </row>
    <row r="265" ht="14.25" customHeight="1">
      <c r="B265" s="148"/>
      <c r="C265" s="183"/>
      <c r="D265" s="91" t="s">
        <v>910</v>
      </c>
      <c r="L265" s="61"/>
      <c r="M265" s="62"/>
      <c r="N265" s="63"/>
      <c r="O265" s="62"/>
      <c r="P265" s="63"/>
      <c r="Q265" s="62"/>
      <c r="R265" s="63"/>
      <c r="S265" s="62">
        <v>0.0</v>
      </c>
      <c r="T265" s="63">
        <v>25.0</v>
      </c>
      <c r="U265" s="62">
        <v>17.0</v>
      </c>
      <c r="V265" s="63">
        <v>16.0</v>
      </c>
      <c r="W265" s="62"/>
      <c r="X265" s="117"/>
      <c r="Y265" s="173"/>
      <c r="Z265" s="65"/>
    </row>
    <row r="266" ht="14.25" customHeight="1">
      <c r="B266" s="148"/>
      <c r="C266" s="183"/>
      <c r="D266" s="91" t="s">
        <v>913</v>
      </c>
      <c r="L266" s="61"/>
      <c r="M266" s="62"/>
      <c r="N266" s="63"/>
      <c r="O266" s="62"/>
      <c r="P266" s="63"/>
      <c r="Q266" s="62"/>
      <c r="R266" s="63"/>
      <c r="S266" s="62">
        <v>0.0</v>
      </c>
      <c r="T266" s="63">
        <v>0.0</v>
      </c>
      <c r="U266" s="62">
        <v>0.0</v>
      </c>
      <c r="V266" s="63">
        <v>0.0</v>
      </c>
      <c r="W266" s="62"/>
      <c r="X266" s="117"/>
      <c r="Y266" s="89"/>
      <c r="Z266" s="65"/>
    </row>
    <row r="267" ht="14.25" customHeight="1">
      <c r="B267" s="148"/>
      <c r="C267" s="183"/>
      <c r="D267" s="91" t="s">
        <v>1033</v>
      </c>
      <c r="L267" s="61"/>
      <c r="M267" s="62"/>
      <c r="N267" s="63"/>
      <c r="O267" s="62"/>
      <c r="P267" s="63"/>
      <c r="Q267" s="62"/>
      <c r="R267" s="63"/>
      <c r="S267" s="62">
        <v>10.0</v>
      </c>
      <c r="T267" s="63">
        <v>709.0</v>
      </c>
      <c r="U267" s="62">
        <v>1866.0</v>
      </c>
      <c r="V267" s="63">
        <v>6866.0</v>
      </c>
      <c r="W267" s="62"/>
      <c r="X267" s="117"/>
      <c r="Y267" s="89"/>
      <c r="Z267" s="65"/>
    </row>
    <row r="268" ht="14.25" customHeight="1">
      <c r="B268" s="148"/>
      <c r="C268" s="183"/>
      <c r="D268" s="91" t="s">
        <v>961</v>
      </c>
      <c r="L268" s="61"/>
      <c r="M268" s="62"/>
      <c r="N268" s="63"/>
      <c r="O268" s="62"/>
      <c r="P268" s="63"/>
      <c r="Q268" s="62"/>
      <c r="R268" s="63"/>
      <c r="S268" s="62">
        <v>0.0</v>
      </c>
      <c r="T268" s="63">
        <v>0.0</v>
      </c>
      <c r="U268" s="62">
        <v>0.0</v>
      </c>
      <c r="V268" s="63">
        <v>0.0</v>
      </c>
      <c r="W268" s="62"/>
      <c r="X268" s="117"/>
      <c r="Y268" s="89"/>
      <c r="Z268" s="65"/>
    </row>
    <row r="269" ht="14.25" customHeight="1">
      <c r="B269" s="148"/>
      <c r="C269" s="183"/>
      <c r="D269" s="91" t="s">
        <v>963</v>
      </c>
      <c r="L269" s="61"/>
      <c r="M269" s="62"/>
      <c r="N269" s="63"/>
      <c r="O269" s="62"/>
      <c r="P269" s="63"/>
      <c r="Q269" s="62"/>
      <c r="R269" s="63"/>
      <c r="S269" s="62">
        <v>2.0</v>
      </c>
      <c r="T269" s="63">
        <v>0.0</v>
      </c>
      <c r="U269" s="62">
        <v>6.0</v>
      </c>
      <c r="V269" s="63">
        <v>71.0</v>
      </c>
      <c r="W269" s="62"/>
      <c r="X269" s="117"/>
      <c r="Y269" s="173"/>
      <c r="Z269" s="65"/>
    </row>
    <row r="270" ht="14.25" customHeight="1">
      <c r="B270" s="148"/>
      <c r="C270" s="183"/>
      <c r="D270" s="70"/>
      <c r="E270" s="118" t="s">
        <v>923</v>
      </c>
      <c r="L270" s="61"/>
      <c r="M270" s="62"/>
      <c r="N270" s="63"/>
      <c r="O270" s="62"/>
      <c r="P270" s="63"/>
      <c r="Q270" s="62"/>
      <c r="R270" s="63"/>
      <c r="S270" s="62">
        <v>0.0</v>
      </c>
      <c r="T270" s="63">
        <v>0.0</v>
      </c>
      <c r="U270" s="62">
        <v>3.0</v>
      </c>
      <c r="V270" s="63">
        <v>71.0</v>
      </c>
      <c r="W270" s="62"/>
      <c r="X270" s="117"/>
      <c r="Y270" s="173"/>
      <c r="Z270" s="65"/>
    </row>
    <row r="271" ht="14.25" customHeight="1">
      <c r="B271" s="148"/>
      <c r="C271" s="183"/>
      <c r="D271" s="70"/>
      <c r="E271" s="118" t="s">
        <v>1213</v>
      </c>
      <c r="L271" s="61"/>
      <c r="M271" s="62"/>
      <c r="N271" s="63"/>
      <c r="O271" s="62"/>
      <c r="P271" s="63"/>
      <c r="Q271" s="62"/>
      <c r="R271" s="63"/>
      <c r="S271" s="62">
        <v>1.0</v>
      </c>
      <c r="T271" s="63">
        <v>0.0</v>
      </c>
      <c r="U271" s="62">
        <v>3.0</v>
      </c>
      <c r="V271" s="63">
        <v>0.0</v>
      </c>
      <c r="W271" s="62"/>
      <c r="X271" s="117"/>
      <c r="Y271" s="173"/>
      <c r="Z271" s="65"/>
    </row>
    <row r="272" ht="14.25" customHeight="1">
      <c r="B272" s="148"/>
      <c r="C272" s="183"/>
      <c r="D272" s="70"/>
      <c r="E272" s="118" t="s">
        <v>1215</v>
      </c>
      <c r="L272" s="61"/>
      <c r="M272" s="62"/>
      <c r="N272" s="63"/>
      <c r="O272" s="62"/>
      <c r="P272" s="63"/>
      <c r="Q272" s="62"/>
      <c r="R272" s="63"/>
      <c r="S272" s="62">
        <v>1.0</v>
      </c>
      <c r="T272" s="63">
        <v>0.0</v>
      </c>
      <c r="U272" s="62">
        <v>0.0</v>
      </c>
      <c r="V272" s="63">
        <v>0.0</v>
      </c>
      <c r="W272" s="62"/>
      <c r="X272" s="117"/>
      <c r="Y272" s="173"/>
      <c r="Z272" s="65"/>
    </row>
    <row r="273" ht="14.25" customHeight="1">
      <c r="B273" s="148"/>
      <c r="C273" s="183"/>
      <c r="D273" s="77"/>
      <c r="L273" s="61"/>
      <c r="M273" s="62"/>
      <c r="N273" s="63"/>
      <c r="O273" s="62"/>
      <c r="P273" s="63"/>
      <c r="Q273" s="62"/>
      <c r="R273" s="63"/>
      <c r="S273" s="62"/>
      <c r="T273" s="63"/>
      <c r="U273" s="62"/>
      <c r="V273" s="63"/>
      <c r="W273" s="62"/>
      <c r="X273" s="117"/>
      <c r="Y273" s="173"/>
      <c r="Z273" s="65"/>
    </row>
    <row r="274" ht="14.25" customHeight="1">
      <c r="B274" s="148"/>
      <c r="C274" s="183"/>
      <c r="D274" s="77"/>
      <c r="L274" s="61"/>
      <c r="M274" s="62"/>
      <c r="N274" s="63"/>
      <c r="O274" s="62"/>
      <c r="P274" s="63"/>
      <c r="Q274" s="62"/>
      <c r="R274" s="63"/>
      <c r="S274" s="62"/>
      <c r="T274" s="63"/>
      <c r="U274" s="62"/>
      <c r="V274" s="63"/>
      <c r="W274" s="62"/>
      <c r="X274" s="117"/>
      <c r="Y274" s="173"/>
      <c r="Z274" s="65"/>
    </row>
    <row r="275" ht="14.25" customHeight="1">
      <c r="B275" s="148"/>
      <c r="C275" s="183"/>
      <c r="D275" s="154" t="s">
        <v>1028</v>
      </c>
      <c r="L275" s="61"/>
      <c r="M275" s="62"/>
      <c r="N275" s="63"/>
      <c r="O275" s="62"/>
      <c r="P275" s="63"/>
      <c r="Q275" s="62"/>
      <c r="R275" s="63"/>
      <c r="S275" s="62"/>
      <c r="T275" s="63"/>
      <c r="U275" s="62"/>
      <c r="V275" s="63"/>
      <c r="W275" s="62"/>
      <c r="X275" s="117"/>
      <c r="Y275" s="173"/>
      <c r="Z275" s="65"/>
    </row>
    <row r="276" ht="14.25" customHeight="1">
      <c r="B276" s="148"/>
      <c r="C276" s="183"/>
      <c r="D276" s="70" t="s">
        <v>915</v>
      </c>
      <c r="L276" s="61"/>
      <c r="M276" s="62"/>
      <c r="N276" s="63"/>
      <c r="O276" s="62"/>
      <c r="P276" s="63"/>
      <c r="Q276" s="62"/>
      <c r="R276" s="63"/>
      <c r="S276" s="62">
        <v>0.0</v>
      </c>
      <c r="T276" s="63">
        <v>0.0</v>
      </c>
      <c r="U276" s="62">
        <v>0.0</v>
      </c>
      <c r="V276" s="63">
        <v>0.0</v>
      </c>
      <c r="W276" s="62"/>
      <c r="X276" s="117"/>
      <c r="Y276" s="173"/>
      <c r="Z276" s="65"/>
    </row>
    <row r="277" ht="14.25" customHeight="1">
      <c r="B277" s="148"/>
      <c r="C277" s="183"/>
      <c r="D277" s="70" t="s">
        <v>908</v>
      </c>
      <c r="L277" s="61"/>
      <c r="M277" s="62"/>
      <c r="N277" s="63"/>
      <c r="O277" s="62"/>
      <c r="P277" s="63"/>
      <c r="Q277" s="62"/>
      <c r="R277" s="63"/>
      <c r="S277" s="62">
        <v>180.0</v>
      </c>
      <c r="T277" s="63">
        <v>1346.0</v>
      </c>
      <c r="U277" s="62">
        <v>5559.0</v>
      </c>
      <c r="V277" s="63">
        <v>7225.0</v>
      </c>
      <c r="W277" s="62"/>
      <c r="X277" s="117"/>
      <c r="Y277" s="173"/>
      <c r="Z277" s="65"/>
    </row>
    <row r="278" ht="14.25" customHeight="1">
      <c r="B278" s="148"/>
      <c r="C278" s="183"/>
      <c r="D278" s="91" t="s">
        <v>909</v>
      </c>
      <c r="E278" s="77"/>
      <c r="L278" s="61"/>
      <c r="M278" s="62"/>
      <c r="N278" s="63"/>
      <c r="O278" s="62"/>
      <c r="P278" s="63"/>
      <c r="Q278" s="62"/>
      <c r="R278" s="63"/>
      <c r="S278" s="62">
        <v>20.0</v>
      </c>
      <c r="T278" s="63">
        <v>298.0</v>
      </c>
      <c r="U278" s="62">
        <v>1096.0</v>
      </c>
      <c r="V278" s="63">
        <v>1518.0</v>
      </c>
      <c r="W278" s="62"/>
      <c r="X278" s="117"/>
      <c r="Y278" s="173"/>
      <c r="Z278" s="65"/>
    </row>
    <row r="279" ht="14.25" customHeight="1">
      <c r="B279" s="148"/>
      <c r="C279" s="183"/>
      <c r="D279" s="91" t="s">
        <v>910</v>
      </c>
      <c r="E279" s="77"/>
      <c r="L279" s="61"/>
      <c r="M279" s="62"/>
      <c r="N279" s="63"/>
      <c r="O279" s="62"/>
      <c r="P279" s="63"/>
      <c r="Q279" s="62"/>
      <c r="R279" s="63"/>
      <c r="S279" s="62">
        <v>21.0</v>
      </c>
      <c r="T279" s="63">
        <v>116.0</v>
      </c>
      <c r="U279" s="62">
        <v>257.0</v>
      </c>
      <c r="V279" s="63">
        <v>176.0</v>
      </c>
      <c r="W279" s="62"/>
      <c r="X279" s="117"/>
      <c r="Y279" s="89"/>
      <c r="Z279" s="65"/>
    </row>
    <row r="280" ht="14.25" customHeight="1">
      <c r="B280" s="148"/>
      <c r="C280" s="183"/>
      <c r="D280" s="91" t="s">
        <v>913</v>
      </c>
      <c r="E280" s="77"/>
      <c r="L280" s="61"/>
      <c r="M280" s="62"/>
      <c r="N280" s="63"/>
      <c r="O280" s="62"/>
      <c r="P280" s="63"/>
      <c r="Q280" s="62"/>
      <c r="R280" s="63"/>
      <c r="S280" s="62">
        <v>0.0</v>
      </c>
      <c r="T280" s="63">
        <v>0.0</v>
      </c>
      <c r="U280" s="62">
        <v>0.0</v>
      </c>
      <c r="V280" s="63">
        <v>36.0</v>
      </c>
      <c r="W280" s="62"/>
      <c r="X280" s="117"/>
      <c r="Y280" s="89"/>
      <c r="Z280" s="65"/>
    </row>
    <row r="281" ht="14.25" customHeight="1">
      <c r="B281" s="148"/>
      <c r="C281" s="183"/>
      <c r="D281" s="91" t="s">
        <v>961</v>
      </c>
      <c r="E281" s="77"/>
      <c r="L281" s="61"/>
      <c r="M281" s="62"/>
      <c r="N281" s="63"/>
      <c r="O281" s="62"/>
      <c r="P281" s="63"/>
      <c r="Q281" s="62"/>
      <c r="R281" s="63"/>
      <c r="S281" s="62">
        <v>0.0</v>
      </c>
      <c r="T281" s="63">
        <v>2.0</v>
      </c>
      <c r="U281" s="62">
        <v>0.0</v>
      </c>
      <c r="V281" s="63">
        <v>0.0</v>
      </c>
      <c r="W281" s="62"/>
      <c r="X281" s="117"/>
      <c r="Y281" s="89"/>
      <c r="Z281" s="65"/>
    </row>
    <row r="282" ht="14.25" customHeight="1">
      <c r="B282" s="148"/>
      <c r="C282" s="183"/>
      <c r="D282" s="91" t="s">
        <v>963</v>
      </c>
      <c r="E282" s="77"/>
      <c r="L282" s="61"/>
      <c r="M282" s="62"/>
      <c r="N282" s="63"/>
      <c r="O282" s="62"/>
      <c r="P282" s="63"/>
      <c r="Q282" s="62"/>
      <c r="R282" s="63"/>
      <c r="S282" s="62">
        <v>44.0</v>
      </c>
      <c r="T282" s="63">
        <v>162.0</v>
      </c>
      <c r="U282" s="62">
        <v>817.0</v>
      </c>
      <c r="V282" s="63">
        <v>1202.0</v>
      </c>
      <c r="W282" s="62"/>
      <c r="X282" s="117"/>
      <c r="Y282" s="89"/>
      <c r="Z282" s="65"/>
    </row>
    <row r="283" ht="14.25" customHeight="1">
      <c r="B283" s="148"/>
      <c r="C283" s="183"/>
      <c r="D283" s="70"/>
      <c r="E283" s="77" t="s">
        <v>911</v>
      </c>
      <c r="L283" s="61"/>
      <c r="M283" s="62"/>
      <c r="N283" s="63"/>
      <c r="O283" s="62"/>
      <c r="P283" s="63"/>
      <c r="Q283" s="62"/>
      <c r="R283" s="63"/>
      <c r="S283" s="62">
        <v>3.0</v>
      </c>
      <c r="T283" s="63">
        <v>110.0</v>
      </c>
      <c r="U283" s="62">
        <v>619.0</v>
      </c>
      <c r="V283" s="63">
        <v>1049.0</v>
      </c>
      <c r="W283" s="62"/>
      <c r="X283" s="117"/>
      <c r="Y283" s="173"/>
      <c r="Z283" s="65"/>
    </row>
    <row r="284" ht="14.25" customHeight="1">
      <c r="B284" s="148"/>
      <c r="C284" s="183"/>
      <c r="D284" s="70"/>
      <c r="E284" s="233" t="s">
        <v>923</v>
      </c>
      <c r="L284" s="61"/>
      <c r="M284" s="62"/>
      <c r="N284" s="63"/>
      <c r="O284" s="62"/>
      <c r="P284" s="63"/>
      <c r="Q284" s="62"/>
      <c r="R284" s="63"/>
      <c r="S284" s="62">
        <v>0.0</v>
      </c>
      <c r="T284" s="63">
        <v>43.0</v>
      </c>
      <c r="U284" s="62">
        <v>157.0</v>
      </c>
      <c r="V284" s="63">
        <v>153.0</v>
      </c>
      <c r="W284" s="62"/>
      <c r="X284" s="117"/>
      <c r="Y284" s="173"/>
      <c r="Z284" s="65"/>
    </row>
    <row r="285" ht="14.25" customHeight="1">
      <c r="B285" s="148"/>
      <c r="C285" s="183"/>
      <c r="D285" s="70"/>
      <c r="E285" s="77" t="s">
        <v>1216</v>
      </c>
      <c r="L285" s="61"/>
      <c r="M285" s="62"/>
      <c r="N285" s="63"/>
      <c r="O285" s="62"/>
      <c r="P285" s="63"/>
      <c r="Q285" s="62"/>
      <c r="R285" s="63"/>
      <c r="S285" s="62">
        <v>35.0</v>
      </c>
      <c r="T285" s="63">
        <v>9.0</v>
      </c>
      <c r="U285" s="62">
        <v>41.0</v>
      </c>
      <c r="V285" s="63">
        <v>0.0</v>
      </c>
      <c r="W285" s="62"/>
      <c r="X285" s="117"/>
      <c r="Y285" s="173"/>
      <c r="Z285" s="65"/>
    </row>
    <row r="286" ht="14.25" customHeight="1">
      <c r="B286" s="148"/>
      <c r="C286" s="183"/>
      <c r="D286" s="70"/>
      <c r="E286" s="233" t="s">
        <v>1215</v>
      </c>
      <c r="L286" s="61"/>
      <c r="M286" s="62"/>
      <c r="N286" s="63"/>
      <c r="O286" s="62"/>
      <c r="P286" s="63"/>
      <c r="Q286" s="62"/>
      <c r="R286" s="63"/>
      <c r="S286" s="62">
        <v>6.0</v>
      </c>
      <c r="T286" s="63">
        <v>0.0</v>
      </c>
      <c r="U286" s="62">
        <v>0.0</v>
      </c>
      <c r="V286" s="63">
        <v>0.0</v>
      </c>
      <c r="W286" s="62"/>
      <c r="X286" s="117"/>
      <c r="Y286" s="173"/>
      <c r="Z286" s="65"/>
    </row>
    <row r="287" ht="14.25" customHeight="1">
      <c r="B287" s="148"/>
      <c r="C287" s="183"/>
      <c r="D287" s="154"/>
      <c r="L287" s="61"/>
      <c r="M287" s="62"/>
      <c r="N287" s="63"/>
      <c r="O287" s="62"/>
      <c r="P287" s="63"/>
      <c r="Q287" s="62"/>
      <c r="R287" s="63"/>
      <c r="S287" s="62"/>
      <c r="T287" s="63"/>
      <c r="U287" s="62"/>
      <c r="V287" s="63"/>
      <c r="W287" s="62"/>
      <c r="X287" s="117"/>
      <c r="Y287" s="173"/>
      <c r="Z287" s="65"/>
    </row>
    <row r="288" ht="14.25" customHeight="1">
      <c r="B288" s="148"/>
      <c r="C288" s="183"/>
      <c r="D288" s="154"/>
      <c r="L288" s="61"/>
      <c r="M288" s="62"/>
      <c r="N288" s="63"/>
      <c r="O288" s="62"/>
      <c r="P288" s="63"/>
      <c r="Q288" s="62"/>
      <c r="R288" s="63"/>
      <c r="S288" s="62"/>
      <c r="T288" s="63"/>
      <c r="U288" s="62"/>
      <c r="V288" s="63"/>
      <c r="W288" s="62"/>
      <c r="X288" s="117"/>
      <c r="Y288" s="173"/>
      <c r="Z288" s="65"/>
    </row>
    <row r="289" ht="14.25" customHeight="1">
      <c r="B289" s="148"/>
      <c r="C289" s="183"/>
      <c r="D289" s="70"/>
      <c r="L289" s="61"/>
      <c r="M289" s="62"/>
      <c r="N289" s="63"/>
      <c r="O289" s="62"/>
      <c r="P289" s="63"/>
      <c r="Q289" s="62"/>
      <c r="R289" s="63"/>
      <c r="S289" s="62"/>
      <c r="T289" s="63"/>
      <c r="U289" s="62"/>
      <c r="V289" s="63"/>
      <c r="W289" s="62"/>
      <c r="X289" s="117"/>
      <c r="Y289" s="173"/>
      <c r="Z289" s="65"/>
    </row>
    <row r="290" ht="14.25" customHeight="1">
      <c r="B290" s="148"/>
      <c r="C290" s="183"/>
      <c r="D290" s="144" t="s">
        <v>1036</v>
      </c>
      <c r="L290" s="61"/>
      <c r="M290" s="62"/>
      <c r="N290" s="63"/>
      <c r="O290" s="62"/>
      <c r="P290" s="63"/>
      <c r="Q290" s="62"/>
      <c r="R290" s="63"/>
      <c r="S290" s="62"/>
      <c r="T290" s="63"/>
      <c r="U290" s="62"/>
      <c r="V290" s="63"/>
      <c r="W290" s="62"/>
      <c r="X290" s="117"/>
      <c r="Y290" s="173"/>
      <c r="Z290" s="65"/>
    </row>
    <row r="291" ht="14.25" customHeight="1">
      <c r="B291" s="148"/>
      <c r="C291" s="183"/>
      <c r="D291" s="70" t="s">
        <v>915</v>
      </c>
      <c r="L291" s="61"/>
      <c r="M291" s="62"/>
      <c r="N291" s="63"/>
      <c r="O291" s="62"/>
      <c r="P291" s="63"/>
      <c r="Q291" s="62"/>
      <c r="R291" s="63"/>
      <c r="S291" s="62"/>
      <c r="T291" s="63"/>
      <c r="U291" s="62">
        <v>0.0</v>
      </c>
      <c r="V291" s="63"/>
      <c r="W291" s="62"/>
      <c r="X291" s="117"/>
      <c r="Y291" s="173"/>
      <c r="Z291" s="65"/>
    </row>
    <row r="292" ht="14.25" customHeight="1">
      <c r="B292" s="148"/>
      <c r="C292" s="183"/>
      <c r="D292" s="70" t="s">
        <v>908</v>
      </c>
      <c r="L292" s="61"/>
      <c r="M292" s="62"/>
      <c r="N292" s="63"/>
      <c r="O292" s="62"/>
      <c r="P292" s="63"/>
      <c r="Q292" s="62"/>
      <c r="R292" s="63"/>
      <c r="S292" s="62"/>
      <c r="T292" s="63"/>
      <c r="U292" s="62">
        <v>0.0</v>
      </c>
      <c r="V292" s="63"/>
      <c r="W292" s="62"/>
      <c r="X292" s="117"/>
      <c r="Y292" s="173"/>
      <c r="Z292" s="65"/>
    </row>
    <row r="293" ht="14.25" customHeight="1">
      <c r="B293" s="148"/>
      <c r="C293" s="183"/>
      <c r="D293" s="70" t="s">
        <v>909</v>
      </c>
      <c r="L293" s="61"/>
      <c r="M293" s="62"/>
      <c r="N293" s="63"/>
      <c r="O293" s="62"/>
      <c r="P293" s="63"/>
      <c r="Q293" s="62"/>
      <c r="R293" s="63"/>
      <c r="S293" s="62"/>
      <c r="T293" s="63"/>
      <c r="U293" s="62">
        <v>0.0</v>
      </c>
      <c r="V293" s="63"/>
      <c r="W293" s="62"/>
      <c r="X293" s="117"/>
      <c r="Y293" s="173"/>
      <c r="Z293" s="65"/>
    </row>
    <row r="294" ht="14.25" customHeight="1">
      <c r="B294" s="148"/>
      <c r="C294" s="183"/>
      <c r="D294" s="70" t="s">
        <v>910</v>
      </c>
      <c r="L294" s="61"/>
      <c r="M294" s="62"/>
      <c r="N294" s="63"/>
      <c r="O294" s="62"/>
      <c r="P294" s="63"/>
      <c r="Q294" s="62"/>
      <c r="R294" s="63"/>
      <c r="S294" s="62"/>
      <c r="T294" s="63"/>
      <c r="U294" s="62">
        <v>7.0</v>
      </c>
      <c r="V294" s="63"/>
      <c r="W294" s="62"/>
      <c r="X294" s="117"/>
      <c r="Y294" s="173"/>
      <c r="Z294" s="65"/>
    </row>
    <row r="295" ht="14.25" customHeight="1">
      <c r="B295" s="148"/>
      <c r="C295" s="183"/>
      <c r="D295" s="91" t="s">
        <v>913</v>
      </c>
      <c r="L295" s="61"/>
      <c r="M295" s="62"/>
      <c r="N295" s="63"/>
      <c r="O295" s="62"/>
      <c r="P295" s="63"/>
      <c r="Q295" s="62"/>
      <c r="R295" s="63"/>
      <c r="S295" s="62"/>
      <c r="T295" s="63"/>
      <c r="U295" s="62">
        <v>0.0</v>
      </c>
      <c r="V295" s="63"/>
      <c r="W295" s="62"/>
      <c r="X295" s="117"/>
      <c r="Y295" s="173"/>
      <c r="Z295" s="65"/>
    </row>
    <row r="296" ht="14.25" customHeight="1">
      <c r="B296" s="148"/>
      <c r="C296" s="183"/>
      <c r="D296" s="91" t="s">
        <v>961</v>
      </c>
      <c r="L296" s="61"/>
      <c r="M296" s="62"/>
      <c r="N296" s="63"/>
      <c r="O296" s="62"/>
      <c r="P296" s="63"/>
      <c r="Q296" s="62"/>
      <c r="R296" s="63"/>
      <c r="S296" s="62"/>
      <c r="T296" s="63"/>
      <c r="U296" s="62">
        <v>0.0</v>
      </c>
      <c r="V296" s="63"/>
      <c r="W296" s="62"/>
      <c r="X296" s="117"/>
      <c r="Y296" s="173"/>
      <c r="Z296" s="65"/>
    </row>
    <row r="297" ht="14.25" customHeight="1">
      <c r="B297" s="148"/>
      <c r="C297" s="183"/>
      <c r="D297" s="91" t="s">
        <v>963</v>
      </c>
      <c r="L297" s="61"/>
      <c r="M297" s="62"/>
      <c r="N297" s="63"/>
      <c r="O297" s="62"/>
      <c r="P297" s="63"/>
      <c r="Q297" s="62"/>
      <c r="R297" s="63"/>
      <c r="S297" s="62"/>
      <c r="T297" s="63"/>
      <c r="U297" s="62">
        <v>2.0</v>
      </c>
      <c r="V297" s="63"/>
      <c r="W297" s="62"/>
      <c r="X297" s="117"/>
      <c r="Y297" s="173"/>
      <c r="Z297" s="65"/>
    </row>
    <row r="298" ht="14.25" customHeight="1">
      <c r="B298" s="148"/>
      <c r="C298" s="183"/>
      <c r="D298" s="70"/>
      <c r="E298" s="118" t="s">
        <v>923</v>
      </c>
      <c r="L298" s="61"/>
      <c r="M298" s="62"/>
      <c r="N298" s="63"/>
      <c r="O298" s="62"/>
      <c r="P298" s="63"/>
      <c r="Q298" s="62"/>
      <c r="R298" s="63"/>
      <c r="S298" s="62"/>
      <c r="T298" s="63"/>
      <c r="U298" s="62">
        <v>2.0</v>
      </c>
      <c r="V298" s="63"/>
      <c r="W298" s="62"/>
      <c r="X298" s="117"/>
      <c r="Y298" s="173"/>
      <c r="Z298" s="65"/>
    </row>
    <row r="299" ht="14.25" customHeight="1">
      <c r="B299" s="148"/>
      <c r="C299" s="183"/>
      <c r="D299" s="70"/>
      <c r="E299" s="77"/>
      <c r="L299" s="61"/>
      <c r="M299" s="62"/>
      <c r="N299" s="63"/>
      <c r="O299" s="62"/>
      <c r="P299" s="63"/>
      <c r="Q299" s="62"/>
      <c r="R299" s="63"/>
      <c r="S299" s="62"/>
      <c r="T299" s="63"/>
      <c r="U299" s="62">
        <v>0.0</v>
      </c>
      <c r="V299" s="63"/>
      <c r="W299" s="62"/>
      <c r="X299" s="117"/>
      <c r="Y299" s="173"/>
      <c r="Z299" s="65"/>
    </row>
    <row r="300" ht="14.25" customHeight="1">
      <c r="B300" s="148"/>
      <c r="C300" s="183"/>
      <c r="D300" s="77"/>
      <c r="E300" s="77"/>
      <c r="L300" s="61"/>
      <c r="M300" s="62"/>
      <c r="N300" s="63"/>
      <c r="O300" s="62"/>
      <c r="P300" s="63"/>
      <c r="Q300" s="62"/>
      <c r="R300" s="63"/>
      <c r="S300" s="62"/>
      <c r="T300" s="63"/>
      <c r="U300" s="62"/>
      <c r="V300" s="63"/>
      <c r="W300" s="62"/>
      <c r="X300" s="117"/>
      <c r="Y300" s="173"/>
      <c r="Z300" s="65"/>
    </row>
    <row r="301" ht="14.25" customHeight="1">
      <c r="B301" s="148"/>
      <c r="C301" s="183"/>
      <c r="D301" s="154" t="s">
        <v>1030</v>
      </c>
      <c r="E301" s="233"/>
      <c r="L301" s="61"/>
      <c r="M301" s="62"/>
      <c r="N301" s="63"/>
      <c r="O301" s="62"/>
      <c r="P301" s="63"/>
      <c r="Q301" s="62"/>
      <c r="R301" s="63"/>
      <c r="S301" s="62"/>
      <c r="T301" s="63"/>
      <c r="U301" s="62"/>
      <c r="V301" s="63"/>
      <c r="W301" s="62"/>
      <c r="X301" s="117"/>
      <c r="Y301" s="173"/>
      <c r="Z301" s="65"/>
    </row>
    <row r="302" ht="14.25" customHeight="1">
      <c r="B302" s="148"/>
      <c r="C302" s="183"/>
      <c r="D302" s="70" t="s">
        <v>915</v>
      </c>
      <c r="E302" s="77"/>
      <c r="L302" s="61"/>
      <c r="M302" s="62"/>
      <c r="N302" s="63"/>
      <c r="O302" s="62"/>
      <c r="P302" s="63"/>
      <c r="Q302" s="62"/>
      <c r="R302" s="63"/>
      <c r="S302" s="62">
        <v>0.0</v>
      </c>
      <c r="T302" s="63">
        <v>0.0</v>
      </c>
      <c r="U302" s="62">
        <v>0.0</v>
      </c>
      <c r="V302" s="63">
        <v>0.0</v>
      </c>
      <c r="W302" s="62"/>
      <c r="X302" s="117"/>
      <c r="Y302" s="173"/>
      <c r="Z302" s="65"/>
    </row>
    <row r="303" ht="14.25" customHeight="1">
      <c r="B303" s="148"/>
      <c r="C303" s="183"/>
      <c r="D303" s="70" t="s">
        <v>908</v>
      </c>
      <c r="E303" s="233"/>
      <c r="L303" s="61"/>
      <c r="M303" s="62"/>
      <c r="N303" s="63"/>
      <c r="O303" s="62"/>
      <c r="P303" s="63"/>
      <c r="Q303" s="62"/>
      <c r="R303" s="63"/>
      <c r="S303" s="62">
        <v>15.0</v>
      </c>
      <c r="T303" s="63">
        <v>187.0</v>
      </c>
      <c r="U303" s="62">
        <v>877.0</v>
      </c>
      <c r="V303" s="63">
        <v>1334.0</v>
      </c>
      <c r="W303" s="62"/>
      <c r="X303" s="117"/>
      <c r="Y303" s="173"/>
      <c r="Z303" s="65"/>
    </row>
    <row r="304" ht="14.25" customHeight="1">
      <c r="B304" s="148"/>
      <c r="C304" s="183"/>
      <c r="D304" s="91" t="s">
        <v>909</v>
      </c>
      <c r="L304" s="61"/>
      <c r="M304" s="62"/>
      <c r="N304" s="63"/>
      <c r="O304" s="62"/>
      <c r="P304" s="63"/>
      <c r="Q304" s="62"/>
      <c r="R304" s="63"/>
      <c r="S304" s="62">
        <v>4.0</v>
      </c>
      <c r="T304" s="63">
        <v>57.0</v>
      </c>
      <c r="U304" s="62">
        <v>132.0</v>
      </c>
      <c r="V304" s="63">
        <v>175.0</v>
      </c>
      <c r="W304" s="62"/>
      <c r="X304" s="117"/>
      <c r="Y304" s="173"/>
      <c r="Z304" s="65"/>
    </row>
    <row r="305" ht="14.25" customHeight="1">
      <c r="B305" s="148"/>
      <c r="C305" s="183"/>
      <c r="D305" s="91" t="s">
        <v>910</v>
      </c>
      <c r="L305" s="61"/>
      <c r="M305" s="62"/>
      <c r="N305" s="63"/>
      <c r="O305" s="62"/>
      <c r="P305" s="63"/>
      <c r="Q305" s="62"/>
      <c r="R305" s="63"/>
      <c r="S305" s="62">
        <v>0.0</v>
      </c>
      <c r="T305" s="63">
        <v>23.0</v>
      </c>
      <c r="U305" s="62">
        <v>34.0</v>
      </c>
      <c r="V305" s="63">
        <v>24.0</v>
      </c>
      <c r="W305" s="62"/>
      <c r="X305" s="117"/>
      <c r="Y305" s="89"/>
      <c r="Z305" s="65"/>
    </row>
    <row r="306" ht="14.25" customHeight="1">
      <c r="B306" s="148"/>
      <c r="C306" s="183"/>
      <c r="D306" s="91" t="s">
        <v>913</v>
      </c>
      <c r="L306" s="61"/>
      <c r="M306" s="62"/>
      <c r="N306" s="63"/>
      <c r="O306" s="62"/>
      <c r="P306" s="63"/>
      <c r="Q306" s="62"/>
      <c r="R306" s="63"/>
      <c r="S306" s="62">
        <v>0.0</v>
      </c>
      <c r="T306" s="63">
        <v>0.0</v>
      </c>
      <c r="U306" s="62">
        <v>0.0</v>
      </c>
      <c r="V306" s="63">
        <v>0.0</v>
      </c>
      <c r="W306" s="62"/>
      <c r="X306" s="117"/>
      <c r="Y306" s="89"/>
      <c r="Z306" s="65"/>
    </row>
    <row r="307" ht="14.25" customHeight="1">
      <c r="B307" s="148"/>
      <c r="C307" s="183"/>
      <c r="D307" s="91" t="s">
        <v>961</v>
      </c>
      <c r="L307" s="61"/>
      <c r="M307" s="62"/>
      <c r="N307" s="63"/>
      <c r="O307" s="62"/>
      <c r="P307" s="63"/>
      <c r="Q307" s="62"/>
      <c r="R307" s="63"/>
      <c r="S307" s="62">
        <v>0.0</v>
      </c>
      <c r="T307" s="63">
        <v>0.0</v>
      </c>
      <c r="U307" s="62">
        <v>0.0</v>
      </c>
      <c r="V307" s="63">
        <v>0.0</v>
      </c>
      <c r="W307" s="62"/>
      <c r="X307" s="117"/>
      <c r="Y307" s="89"/>
      <c r="Z307" s="65"/>
    </row>
    <row r="308" ht="14.25" customHeight="1">
      <c r="B308" s="148"/>
      <c r="C308" s="183"/>
      <c r="D308" s="91" t="s">
        <v>963</v>
      </c>
      <c r="L308" s="61"/>
      <c r="M308" s="62"/>
      <c r="N308" s="63"/>
      <c r="O308" s="62"/>
      <c r="P308" s="63"/>
      <c r="Q308" s="62"/>
      <c r="R308" s="63"/>
      <c r="S308" s="62">
        <v>10.0</v>
      </c>
      <c r="T308" s="63">
        <v>9.0</v>
      </c>
      <c r="U308" s="62">
        <v>113.0</v>
      </c>
      <c r="V308" s="63">
        <v>80.0</v>
      </c>
      <c r="W308" s="62"/>
      <c r="X308" s="117"/>
      <c r="Y308" s="89"/>
      <c r="Z308" s="65"/>
    </row>
    <row r="309" ht="14.25" customHeight="1">
      <c r="B309" s="148"/>
      <c r="C309" s="183"/>
      <c r="D309" s="70"/>
      <c r="E309" s="118" t="s">
        <v>1033</v>
      </c>
      <c r="L309" s="61"/>
      <c r="M309" s="62"/>
      <c r="N309" s="63"/>
      <c r="O309" s="62"/>
      <c r="P309" s="63"/>
      <c r="Q309" s="62"/>
      <c r="R309" s="63"/>
      <c r="S309" s="62">
        <v>0.0</v>
      </c>
      <c r="T309" s="63">
        <v>0.0</v>
      </c>
      <c r="U309" s="62">
        <v>33.0</v>
      </c>
      <c r="V309" s="63">
        <v>35.0</v>
      </c>
      <c r="W309" s="62"/>
      <c r="X309" s="117"/>
      <c r="Y309" s="89"/>
      <c r="Z309" s="65"/>
    </row>
    <row r="310" ht="14.25" customHeight="1">
      <c r="B310" s="148"/>
      <c r="C310" s="183"/>
      <c r="D310" s="70"/>
      <c r="E310" s="118" t="s">
        <v>923</v>
      </c>
      <c r="L310" s="61"/>
      <c r="M310" s="62"/>
      <c r="N310" s="63"/>
      <c r="O310" s="62"/>
      <c r="P310" s="63"/>
      <c r="Q310" s="62"/>
      <c r="R310" s="63"/>
      <c r="S310" s="62">
        <v>0.0</v>
      </c>
      <c r="T310" s="63">
        <v>5.0</v>
      </c>
      <c r="U310" s="62">
        <v>69.0</v>
      </c>
      <c r="V310" s="63">
        <v>37.0</v>
      </c>
      <c r="W310" s="62"/>
      <c r="X310" s="117"/>
      <c r="Y310" s="89"/>
      <c r="Z310" s="65"/>
    </row>
    <row r="311" ht="14.25" customHeight="1">
      <c r="B311" s="148"/>
      <c r="C311" s="183"/>
      <c r="D311" s="70"/>
      <c r="E311" s="118" t="s">
        <v>1213</v>
      </c>
      <c r="L311" s="61"/>
      <c r="M311" s="62"/>
      <c r="N311" s="63"/>
      <c r="O311" s="62"/>
      <c r="P311" s="63"/>
      <c r="Q311" s="62"/>
      <c r="R311" s="63"/>
      <c r="S311" s="62">
        <v>7.0</v>
      </c>
      <c r="T311" s="63">
        <v>0.0</v>
      </c>
      <c r="U311" s="62">
        <v>11.0</v>
      </c>
      <c r="V311" s="63">
        <v>8.0</v>
      </c>
      <c r="W311" s="62"/>
      <c r="X311" s="117"/>
      <c r="Y311" s="89"/>
      <c r="Z311" s="65"/>
    </row>
    <row r="312" ht="14.25" customHeight="1">
      <c r="B312" s="148"/>
      <c r="C312" s="183"/>
      <c r="D312" s="70"/>
      <c r="E312" s="118" t="s">
        <v>1215</v>
      </c>
      <c r="L312" s="61"/>
      <c r="M312" s="62"/>
      <c r="N312" s="63"/>
      <c r="O312" s="62"/>
      <c r="P312" s="63"/>
      <c r="Q312" s="62"/>
      <c r="R312" s="63"/>
      <c r="S312" s="62">
        <v>3.0</v>
      </c>
      <c r="T312" s="63">
        <v>4.0</v>
      </c>
      <c r="U312" s="62">
        <v>0.0</v>
      </c>
      <c r="V312" s="63">
        <v>0.0</v>
      </c>
      <c r="W312" s="62"/>
      <c r="X312" s="117"/>
      <c r="Y312" s="173"/>
      <c r="Z312" s="65"/>
    </row>
    <row r="313" ht="14.25" customHeight="1">
      <c r="B313" s="148"/>
      <c r="C313" s="183"/>
      <c r="D313" s="70"/>
      <c r="L313" s="61"/>
      <c r="M313" s="62"/>
      <c r="N313" s="63"/>
      <c r="O313" s="62"/>
      <c r="P313" s="63"/>
      <c r="Q313" s="62"/>
      <c r="R313" s="63"/>
      <c r="S313" s="62"/>
      <c r="T313" s="63"/>
      <c r="U313" s="62"/>
      <c r="V313" s="63"/>
      <c r="W313" s="62"/>
      <c r="X313" s="117"/>
      <c r="Y313" s="173"/>
      <c r="Z313" s="65"/>
    </row>
    <row r="314" ht="14.25" customHeight="1">
      <c r="B314" s="148"/>
      <c r="C314" s="183"/>
      <c r="D314" s="70"/>
      <c r="L314" s="61"/>
      <c r="M314" s="62"/>
      <c r="N314" s="63"/>
      <c r="O314" s="62"/>
      <c r="P314" s="63"/>
      <c r="Q314" s="62"/>
      <c r="R314" s="63"/>
      <c r="S314" s="62"/>
      <c r="T314" s="63"/>
      <c r="U314" s="62"/>
      <c r="V314" s="63"/>
      <c r="W314" s="62"/>
      <c r="X314" s="117"/>
      <c r="Y314" s="173"/>
      <c r="Z314" s="65"/>
    </row>
    <row r="315" ht="14.25" customHeight="1">
      <c r="B315" s="148"/>
      <c r="C315" s="183"/>
      <c r="D315" s="70"/>
      <c r="L315" s="61"/>
      <c r="M315" s="62"/>
      <c r="N315" s="63"/>
      <c r="O315" s="62"/>
      <c r="P315" s="63"/>
      <c r="Q315" s="62"/>
      <c r="R315" s="63"/>
      <c r="S315" s="62"/>
      <c r="T315" s="63"/>
      <c r="U315" s="62"/>
      <c r="V315" s="63"/>
      <c r="W315" s="62"/>
      <c r="X315" s="117"/>
      <c r="Y315" s="173"/>
      <c r="Z315" s="65"/>
    </row>
    <row r="316" ht="14.25" customHeight="1">
      <c r="B316" s="148"/>
      <c r="C316" s="183"/>
      <c r="D316" s="70"/>
      <c r="L316" s="61"/>
      <c r="M316" s="62"/>
      <c r="N316" s="63"/>
      <c r="O316" s="62"/>
      <c r="P316" s="63"/>
      <c r="Q316" s="62"/>
      <c r="R316" s="63"/>
      <c r="S316" s="62"/>
      <c r="T316" s="63"/>
      <c r="U316" s="62"/>
      <c r="V316" s="63"/>
      <c r="W316" s="62"/>
      <c r="X316" s="117"/>
      <c r="Y316" s="173"/>
      <c r="Z316" s="65"/>
    </row>
    <row r="317" ht="14.25" customHeight="1">
      <c r="B317" s="148"/>
      <c r="C317" s="183"/>
      <c r="D317" s="70"/>
      <c r="L317" s="61"/>
      <c r="M317" s="62"/>
      <c r="N317" s="63"/>
      <c r="O317" s="62"/>
      <c r="P317" s="63"/>
      <c r="Q317" s="62"/>
      <c r="R317" s="63"/>
      <c r="S317" s="62"/>
      <c r="T317" s="63"/>
      <c r="U317" s="62"/>
      <c r="V317" s="63"/>
      <c r="W317" s="62"/>
      <c r="X317" s="117"/>
      <c r="Y317" s="173"/>
      <c r="Z317" s="65"/>
    </row>
    <row r="318" ht="14.25" customHeight="1">
      <c r="B318" s="148"/>
      <c r="C318" s="183"/>
      <c r="D318" s="70"/>
      <c r="L318" s="61"/>
      <c r="M318" s="62"/>
      <c r="N318" s="63"/>
      <c r="O318" s="62"/>
      <c r="P318" s="63"/>
      <c r="Q318" s="62"/>
      <c r="R318" s="63"/>
      <c r="S318" s="62"/>
      <c r="T318" s="63"/>
      <c r="U318" s="62"/>
      <c r="V318" s="63"/>
      <c r="W318" s="62"/>
      <c r="X318" s="117"/>
      <c r="Y318" s="173"/>
      <c r="Z318" s="65"/>
    </row>
    <row r="319" ht="14.25" customHeight="1">
      <c r="B319" s="148"/>
      <c r="C319" s="183"/>
      <c r="D319" s="77"/>
      <c r="L319" s="61"/>
      <c r="M319" s="62"/>
      <c r="N319" s="63"/>
      <c r="O319" s="62"/>
      <c r="P319" s="63"/>
      <c r="Q319" s="62"/>
      <c r="R319" s="63"/>
      <c r="S319" s="62"/>
      <c r="T319" s="63"/>
      <c r="U319" s="62"/>
      <c r="V319" s="63"/>
      <c r="W319" s="62"/>
      <c r="X319" s="117"/>
      <c r="Y319" s="173"/>
      <c r="Z319" s="65"/>
    </row>
    <row r="320" ht="14.25" customHeight="1">
      <c r="B320" s="148"/>
      <c r="C320" s="183"/>
      <c r="D320" s="154" t="s">
        <v>1031</v>
      </c>
      <c r="L320" s="61"/>
      <c r="M320" s="62"/>
      <c r="N320" s="63"/>
      <c r="O320" s="62"/>
      <c r="P320" s="63"/>
      <c r="Q320" s="62"/>
      <c r="R320" s="63"/>
      <c r="S320" s="62"/>
      <c r="T320" s="63"/>
      <c r="U320" s="62"/>
      <c r="V320" s="63"/>
      <c r="W320" s="62"/>
      <c r="X320" s="117"/>
      <c r="Y320" s="173"/>
      <c r="Z320" s="65"/>
    </row>
    <row r="321" ht="14.25" customHeight="1">
      <c r="B321" s="148"/>
      <c r="C321" s="183"/>
      <c r="D321" s="197" t="s">
        <v>915</v>
      </c>
      <c r="L321" s="61"/>
      <c r="M321" s="62"/>
      <c r="N321" s="63"/>
      <c r="O321" s="62"/>
      <c r="P321" s="63"/>
      <c r="Q321" s="62"/>
      <c r="R321" s="63"/>
      <c r="S321" s="62"/>
      <c r="T321" s="63"/>
      <c r="U321" s="62"/>
      <c r="V321" s="63"/>
      <c r="W321" s="62"/>
      <c r="X321" s="117"/>
      <c r="Y321" s="173"/>
      <c r="Z321" s="65"/>
    </row>
    <row r="322" ht="14.25" customHeight="1">
      <c r="B322" s="148"/>
      <c r="C322" s="183"/>
      <c r="D322" s="197" t="s">
        <v>908</v>
      </c>
      <c r="L322" s="61"/>
      <c r="M322" s="62"/>
      <c r="N322" s="63"/>
      <c r="O322" s="62"/>
      <c r="P322" s="63"/>
      <c r="Q322" s="62"/>
      <c r="R322" s="63"/>
      <c r="S322" s="62"/>
      <c r="T322" s="63"/>
      <c r="U322" s="62"/>
      <c r="V322" s="63"/>
      <c r="W322" s="62"/>
      <c r="X322" s="117"/>
      <c r="Y322" s="173"/>
      <c r="Z322" s="65"/>
    </row>
    <row r="323" ht="14.25" customHeight="1">
      <c r="B323" s="148"/>
      <c r="C323" s="183"/>
      <c r="D323" s="197" t="s">
        <v>909</v>
      </c>
      <c r="L323" s="61"/>
      <c r="M323" s="62"/>
      <c r="N323" s="63"/>
      <c r="O323" s="62"/>
      <c r="P323" s="63"/>
      <c r="Q323" s="62"/>
      <c r="R323" s="63"/>
      <c r="S323" s="62"/>
      <c r="T323" s="63"/>
      <c r="U323" s="62"/>
      <c r="V323" s="63"/>
      <c r="W323" s="62"/>
      <c r="X323" s="117"/>
      <c r="Y323" s="173"/>
      <c r="Z323" s="65"/>
    </row>
    <row r="324" ht="14.25" customHeight="1">
      <c r="B324" s="148"/>
      <c r="C324" s="183"/>
      <c r="D324" s="197" t="s">
        <v>910</v>
      </c>
      <c r="L324" s="61"/>
      <c r="M324" s="62"/>
      <c r="N324" s="63"/>
      <c r="O324" s="62"/>
      <c r="P324" s="63"/>
      <c r="Q324" s="62"/>
      <c r="R324" s="63"/>
      <c r="S324" s="62"/>
      <c r="T324" s="63"/>
      <c r="U324" s="62"/>
      <c r="V324" s="63"/>
      <c r="W324" s="62"/>
      <c r="X324" s="117"/>
      <c r="Y324" s="173"/>
      <c r="Z324" s="65"/>
    </row>
    <row r="325" ht="14.25" customHeight="1">
      <c r="B325" s="148"/>
      <c r="C325" s="183"/>
      <c r="D325" s="197" t="s">
        <v>913</v>
      </c>
      <c r="L325" s="61"/>
      <c r="M325" s="62"/>
      <c r="N325" s="63"/>
      <c r="O325" s="62"/>
      <c r="P325" s="63"/>
      <c r="Q325" s="62"/>
      <c r="R325" s="63"/>
      <c r="S325" s="62"/>
      <c r="T325" s="63"/>
      <c r="U325" s="62"/>
      <c r="V325" s="63"/>
      <c r="W325" s="62"/>
      <c r="X325" s="117"/>
      <c r="Y325" s="173"/>
      <c r="Z325" s="65"/>
    </row>
    <row r="326" ht="14.25" customHeight="1">
      <c r="B326" s="148"/>
      <c r="C326" s="183"/>
      <c r="D326" s="197" t="s">
        <v>961</v>
      </c>
      <c r="L326" s="61"/>
      <c r="M326" s="62"/>
      <c r="N326" s="63"/>
      <c r="O326" s="62"/>
      <c r="P326" s="63"/>
      <c r="Q326" s="62"/>
      <c r="R326" s="63"/>
      <c r="S326" s="62"/>
      <c r="T326" s="63"/>
      <c r="U326" s="62"/>
      <c r="V326" s="63"/>
      <c r="W326" s="62"/>
      <c r="X326" s="117"/>
      <c r="Y326" s="173"/>
      <c r="Z326" s="65"/>
    </row>
    <row r="327" ht="14.25" customHeight="1">
      <c r="B327" s="148"/>
      <c r="C327" s="183"/>
      <c r="D327" s="197" t="s">
        <v>963</v>
      </c>
      <c r="L327" s="61"/>
      <c r="M327" s="62"/>
      <c r="N327" s="63"/>
      <c r="O327" s="62"/>
      <c r="P327" s="63"/>
      <c r="Q327" s="62"/>
      <c r="R327" s="63"/>
      <c r="S327" s="62"/>
      <c r="T327" s="63"/>
      <c r="U327" s="62"/>
      <c r="V327" s="63"/>
      <c r="W327" s="62"/>
      <c r="X327" s="117"/>
      <c r="Y327" s="173"/>
      <c r="Z327" s="65"/>
    </row>
    <row r="328" ht="14.25" customHeight="1">
      <c r="B328" s="148"/>
      <c r="C328" s="183"/>
      <c r="D328" s="70"/>
      <c r="E328" s="118" t="s">
        <v>1037</v>
      </c>
      <c r="L328" s="61"/>
      <c r="M328" s="62"/>
      <c r="N328" s="63"/>
      <c r="O328" s="62"/>
      <c r="P328" s="63"/>
      <c r="Q328" s="62"/>
      <c r="R328" s="63"/>
      <c r="S328" s="62"/>
      <c r="T328" s="63"/>
      <c r="U328" s="62"/>
      <c r="V328" s="63"/>
      <c r="W328" s="62"/>
      <c r="X328" s="117"/>
      <c r="Y328" s="173"/>
      <c r="Z328" s="65"/>
    </row>
    <row r="329" ht="14.25" customHeight="1">
      <c r="B329" s="148"/>
      <c r="C329" s="183"/>
      <c r="D329" s="70"/>
      <c r="E329" s="77" t="s">
        <v>1038</v>
      </c>
      <c r="L329" s="61"/>
      <c r="M329" s="62"/>
      <c r="N329" s="63"/>
      <c r="O329" s="62"/>
      <c r="P329" s="63"/>
      <c r="Q329" s="62"/>
      <c r="R329" s="63"/>
      <c r="S329" s="62"/>
      <c r="T329" s="63"/>
      <c r="U329" s="62"/>
      <c r="V329" s="63"/>
      <c r="W329" s="62"/>
      <c r="X329" s="117"/>
      <c r="Y329" s="173"/>
      <c r="Z329" s="65"/>
    </row>
    <row r="330" ht="14.25" customHeight="1">
      <c r="B330" s="148"/>
      <c r="C330" s="183"/>
      <c r="D330" s="70"/>
      <c r="E330" s="77"/>
      <c r="L330" s="61"/>
      <c r="M330" s="62"/>
      <c r="N330" s="63"/>
      <c r="O330" s="62"/>
      <c r="P330" s="63"/>
      <c r="Q330" s="62"/>
      <c r="R330" s="63"/>
      <c r="S330" s="62"/>
      <c r="T330" s="63"/>
      <c r="U330" s="62"/>
      <c r="V330" s="63"/>
      <c r="W330" s="62"/>
      <c r="X330" s="117"/>
      <c r="Y330" s="173"/>
      <c r="Z330" s="65"/>
    </row>
    <row r="331" ht="14.25" customHeight="1">
      <c r="B331" s="113"/>
      <c r="L331" s="61"/>
      <c r="M331" s="62"/>
      <c r="N331" s="63"/>
      <c r="O331" s="62"/>
      <c r="P331" s="63"/>
      <c r="Q331" s="62"/>
      <c r="R331" s="63"/>
      <c r="S331" s="62"/>
      <c r="T331" s="63"/>
      <c r="U331" s="62"/>
      <c r="V331" s="63"/>
      <c r="W331" s="62"/>
      <c r="X331" s="117"/>
      <c r="Y331" s="173"/>
      <c r="Z331" s="65"/>
    </row>
    <row r="332" ht="14.25" customHeight="1">
      <c r="B332" s="60" t="s">
        <v>1040</v>
      </c>
      <c r="C332" s="144"/>
      <c r="D332" s="183"/>
      <c r="E332" s="77"/>
      <c r="L332" s="61"/>
      <c r="M332" s="62"/>
      <c r="N332" s="63"/>
      <c r="O332" s="62"/>
      <c r="P332" s="63"/>
      <c r="Q332" s="62"/>
      <c r="R332" s="63"/>
      <c r="S332" s="62"/>
      <c r="T332" s="63"/>
      <c r="U332" s="62"/>
      <c r="V332" s="63"/>
      <c r="W332" s="62"/>
      <c r="X332" s="117"/>
      <c r="Y332" s="173"/>
      <c r="Z332" s="65"/>
    </row>
    <row r="333" ht="14.25" customHeight="1">
      <c r="B333" s="60" t="s">
        <v>1041</v>
      </c>
      <c r="L333" s="61"/>
      <c r="M333" s="62"/>
      <c r="N333" s="63"/>
      <c r="O333" s="62"/>
      <c r="P333" s="63"/>
      <c r="Q333" s="62"/>
      <c r="R333" s="63"/>
      <c r="S333" s="62"/>
      <c r="T333" s="63"/>
      <c r="U333" s="62"/>
      <c r="V333" s="63"/>
      <c r="W333" s="62"/>
      <c r="X333" s="117"/>
      <c r="Y333" s="173"/>
      <c r="Z333" s="65"/>
    </row>
    <row r="334" ht="14.25" customHeight="1">
      <c r="B334" s="113"/>
      <c r="E334" s="559"/>
      <c r="L334" s="61"/>
      <c r="M334" s="62"/>
      <c r="N334" s="63"/>
      <c r="O334" s="62"/>
      <c r="P334" s="63"/>
      <c r="Q334" s="62"/>
      <c r="R334" s="63"/>
      <c r="S334" s="62"/>
      <c r="T334" s="63"/>
      <c r="U334" s="62"/>
      <c r="V334" s="63"/>
      <c r="W334" s="62"/>
      <c r="X334" s="117"/>
      <c r="Y334" s="173"/>
      <c r="Z334" s="65"/>
    </row>
    <row r="335" ht="14.25" customHeight="1">
      <c r="B335" s="113"/>
      <c r="D335" s="560" t="s">
        <v>1042</v>
      </c>
      <c r="E335" s="561"/>
      <c r="L335" s="61"/>
      <c r="M335" s="62"/>
      <c r="N335" s="63"/>
      <c r="O335" s="62"/>
      <c r="P335" s="63"/>
      <c r="Q335" s="62"/>
      <c r="R335" s="63"/>
      <c r="S335" s="62"/>
      <c r="T335" s="63"/>
      <c r="U335" s="62"/>
      <c r="V335" s="63"/>
      <c r="W335" s="62"/>
      <c r="X335" s="117"/>
      <c r="Y335" s="173"/>
      <c r="Z335" s="65"/>
    </row>
    <row r="336" ht="15.0" customHeight="1">
      <c r="B336" s="113"/>
      <c r="D336" s="559"/>
      <c r="E336" s="559" t="s">
        <v>1043</v>
      </c>
      <c r="F336" s="562"/>
      <c r="L336" s="61"/>
      <c r="M336" s="62"/>
      <c r="N336" s="63"/>
      <c r="O336" s="62"/>
      <c r="P336" s="63"/>
      <c r="Q336" s="62"/>
      <c r="R336" s="63"/>
      <c r="S336" s="62"/>
      <c r="T336" s="63"/>
      <c r="U336" s="62"/>
      <c r="V336" s="63"/>
      <c r="W336" s="62"/>
      <c r="X336" s="117"/>
      <c r="Y336" s="173"/>
      <c r="Z336" s="65"/>
    </row>
    <row r="337" ht="14.25" customHeight="1">
      <c r="B337" s="113"/>
      <c r="D337" s="563"/>
      <c r="E337" s="564" t="s">
        <v>1044</v>
      </c>
      <c r="L337" s="61"/>
      <c r="M337" s="62"/>
      <c r="N337" s="63">
        <v>107906.0</v>
      </c>
      <c r="O337" s="62">
        <v>107906.0</v>
      </c>
      <c r="P337" s="63">
        <v>115430.0</v>
      </c>
      <c r="Q337" s="62">
        <v>115430.0</v>
      </c>
      <c r="R337" s="63"/>
      <c r="S337" s="62">
        <v>122136.0</v>
      </c>
      <c r="T337" s="63">
        <v>123991.0</v>
      </c>
      <c r="U337" s="62">
        <v>118710.0</v>
      </c>
      <c r="V337" s="63">
        <v>133229.0</v>
      </c>
      <c r="W337" s="62"/>
      <c r="X337" s="117"/>
      <c r="Y337" s="173"/>
      <c r="Z337" s="65"/>
    </row>
    <row r="338" ht="14.25" customHeight="1">
      <c r="B338" s="113"/>
      <c r="D338" s="559"/>
      <c r="E338" s="565"/>
      <c r="L338" s="61"/>
      <c r="M338" s="62"/>
      <c r="N338" s="63"/>
      <c r="O338" s="62"/>
      <c r="P338" s="63"/>
      <c r="Q338" s="62"/>
      <c r="R338" s="63"/>
      <c r="S338" s="62"/>
      <c r="T338" s="63"/>
      <c r="U338" s="62"/>
      <c r="V338" s="63"/>
      <c r="W338" s="62"/>
      <c r="X338" s="117"/>
      <c r="Y338" s="173"/>
      <c r="Z338" s="65"/>
    </row>
    <row r="339" ht="14.25" customHeight="1">
      <c r="B339" s="113"/>
      <c r="D339" s="559"/>
      <c r="E339" s="559" t="s">
        <v>1046</v>
      </c>
      <c r="L339" s="61"/>
      <c r="M339" s="62"/>
      <c r="N339" s="63"/>
      <c r="O339" s="62"/>
      <c r="P339" s="63"/>
      <c r="Q339" s="62"/>
      <c r="R339" s="63"/>
      <c r="S339" s="62"/>
      <c r="T339" s="63"/>
      <c r="U339" s="62"/>
      <c r="V339" s="63"/>
      <c r="W339" s="62"/>
      <c r="X339" s="117"/>
      <c r="Y339" s="173"/>
      <c r="Z339" s="65"/>
    </row>
    <row r="340" ht="15.0" customHeight="1">
      <c r="B340" s="113"/>
      <c r="D340" s="559"/>
      <c r="E340" s="566" t="s">
        <v>1047</v>
      </c>
      <c r="F340" s="562"/>
      <c r="L340" s="61"/>
      <c r="M340" s="62"/>
      <c r="N340" s="241"/>
      <c r="O340" s="567">
        <v>0.1</v>
      </c>
      <c r="P340" s="241"/>
      <c r="Q340" s="567"/>
      <c r="R340" s="241"/>
      <c r="S340" s="567"/>
      <c r="T340" s="241">
        <v>0.0954</v>
      </c>
      <c r="U340" s="567"/>
      <c r="V340" s="241">
        <v>0.9034</v>
      </c>
      <c r="W340" s="62"/>
      <c r="X340" s="117"/>
      <c r="Y340" s="173"/>
      <c r="Z340" s="65"/>
    </row>
    <row r="341" ht="14.25" customHeight="1">
      <c r="B341" s="113"/>
      <c r="D341" s="559"/>
      <c r="E341" s="566" t="s">
        <v>1048</v>
      </c>
      <c r="L341" s="61"/>
      <c r="M341" s="62"/>
      <c r="N341" s="241"/>
      <c r="O341" s="567"/>
      <c r="P341" s="241"/>
      <c r="Q341" s="567"/>
      <c r="R341" s="241"/>
      <c r="S341" s="567"/>
      <c r="T341" s="241"/>
      <c r="U341" s="567"/>
      <c r="V341" s="241"/>
      <c r="W341" s="62"/>
      <c r="X341" s="117"/>
      <c r="Y341" s="173"/>
      <c r="Z341" s="65"/>
    </row>
    <row r="342" ht="14.25" customHeight="1">
      <c r="B342" s="113"/>
      <c r="D342" s="559"/>
      <c r="E342" s="559" t="s">
        <v>1049</v>
      </c>
      <c r="L342" s="61"/>
      <c r="M342" s="62"/>
      <c r="N342" s="241"/>
      <c r="O342" s="567"/>
      <c r="P342" s="241"/>
      <c r="Q342" s="567"/>
      <c r="R342" s="241"/>
      <c r="S342" s="567"/>
      <c r="T342" s="241"/>
      <c r="U342" s="567"/>
      <c r="V342" s="241"/>
      <c r="W342" s="62"/>
      <c r="X342" s="117"/>
      <c r="Y342" s="173"/>
      <c r="Z342" s="65"/>
    </row>
    <row r="343" ht="14.25" customHeight="1">
      <c r="B343" s="113"/>
      <c r="D343" s="563"/>
      <c r="E343" s="564" t="s">
        <v>1050</v>
      </c>
      <c r="L343" s="61"/>
      <c r="M343" s="62"/>
      <c r="N343" s="241"/>
      <c r="O343" s="567"/>
      <c r="P343" s="241">
        <v>1.0</v>
      </c>
      <c r="Q343" s="567">
        <v>1.0</v>
      </c>
      <c r="R343" s="241"/>
      <c r="S343" s="567"/>
      <c r="T343" s="241"/>
      <c r="U343" s="567">
        <v>0.9247311827956989</v>
      </c>
      <c r="V343" s="241">
        <v>1.0</v>
      </c>
      <c r="W343" s="62"/>
      <c r="X343" s="117"/>
      <c r="Y343" s="173"/>
      <c r="Z343" s="65"/>
    </row>
    <row r="344" ht="15.0" customHeight="1">
      <c r="B344" s="113"/>
      <c r="D344" s="559"/>
      <c r="E344" s="568"/>
      <c r="F344" s="562"/>
      <c r="L344" s="61"/>
      <c r="M344" s="62"/>
      <c r="N344" s="63"/>
      <c r="O344" s="62"/>
      <c r="P344" s="63"/>
      <c r="Q344" s="62"/>
      <c r="R344" s="63"/>
      <c r="S344" s="62"/>
      <c r="T344" s="63"/>
      <c r="U344" s="62"/>
      <c r="V344" s="63"/>
      <c r="W344" s="62"/>
      <c r="X344" s="117"/>
      <c r="Y344" s="173"/>
      <c r="Z344" s="65"/>
    </row>
    <row r="345" ht="14.25" customHeight="1">
      <c r="B345" s="113"/>
      <c r="D345" s="560" t="s">
        <v>1051</v>
      </c>
      <c r="E345" s="561"/>
      <c r="L345" s="61"/>
      <c r="M345" s="62"/>
      <c r="N345" s="63"/>
      <c r="O345" s="62"/>
      <c r="P345" s="63"/>
      <c r="Q345" s="62"/>
      <c r="R345" s="63"/>
      <c r="S345" s="62"/>
      <c r="T345" s="63"/>
      <c r="U345" s="62"/>
      <c r="V345" s="63"/>
      <c r="W345" s="62"/>
      <c r="X345" s="117"/>
      <c r="Y345" s="173"/>
      <c r="Z345" s="65"/>
    </row>
    <row r="346" ht="14.25" customHeight="1">
      <c r="B346" s="113"/>
      <c r="D346" s="569"/>
      <c r="E346" s="559" t="s">
        <v>1043</v>
      </c>
      <c r="L346" s="61"/>
      <c r="M346" s="62"/>
      <c r="N346" s="63"/>
      <c r="O346" s="62"/>
      <c r="P346" s="63"/>
      <c r="Q346" s="62"/>
      <c r="R346" s="63"/>
      <c r="S346" s="62"/>
      <c r="T346" s="63"/>
      <c r="U346" s="62"/>
      <c r="V346" s="63"/>
      <c r="W346" s="62"/>
      <c r="X346" s="117"/>
      <c r="Y346" s="173"/>
      <c r="Z346" s="65"/>
    </row>
    <row r="347" ht="14.25" customHeight="1">
      <c r="B347" s="113"/>
      <c r="D347" s="563"/>
      <c r="E347" s="564" t="s">
        <v>1052</v>
      </c>
      <c r="L347" s="61"/>
      <c r="M347" s="62"/>
      <c r="N347" s="63"/>
      <c r="O347" s="62"/>
      <c r="P347" s="63"/>
      <c r="Q347" s="62"/>
      <c r="R347" s="63">
        <v>50.0</v>
      </c>
      <c r="S347" s="62">
        <v>18.0</v>
      </c>
      <c r="T347" s="63">
        <v>11.0</v>
      </c>
      <c r="U347" s="62">
        <v>15.0</v>
      </c>
      <c r="V347" s="63">
        <v>29.0</v>
      </c>
      <c r="W347" s="62">
        <f>SUM(S347:V347)</f>
        <v>73</v>
      </c>
      <c r="X347" s="117"/>
      <c r="Y347" s="173"/>
      <c r="Z347" s="65"/>
    </row>
    <row r="348" ht="14.25" customHeight="1">
      <c r="B348" s="113"/>
      <c r="D348" s="563"/>
      <c r="E348" s="565"/>
      <c r="L348" s="61"/>
      <c r="M348" s="62"/>
      <c r="N348" s="63"/>
      <c r="O348" s="62"/>
      <c r="P348" s="63"/>
      <c r="Q348" s="62"/>
      <c r="R348" s="63"/>
      <c r="S348" s="62"/>
      <c r="T348" s="63"/>
      <c r="U348" s="62"/>
      <c r="V348" s="63"/>
      <c r="W348" s="62"/>
      <c r="X348" s="117"/>
      <c r="Y348" s="173"/>
      <c r="Z348" s="65"/>
    </row>
    <row r="349" ht="14.25" customHeight="1">
      <c r="B349" s="113"/>
      <c r="D349" s="563"/>
      <c r="E349" s="570" t="s">
        <v>1046</v>
      </c>
      <c r="L349" s="61"/>
      <c r="M349" s="62"/>
      <c r="N349" s="403">
        <v>1.0</v>
      </c>
      <c r="O349" s="608">
        <v>1.0</v>
      </c>
      <c r="P349" s="403">
        <v>1.0</v>
      </c>
      <c r="Q349" s="608">
        <v>1.0</v>
      </c>
      <c r="R349" s="403">
        <v>1.0</v>
      </c>
      <c r="S349" s="403">
        <v>1.0</v>
      </c>
      <c r="T349" s="608">
        <v>1.0</v>
      </c>
      <c r="U349" s="403">
        <v>1.0</v>
      </c>
      <c r="V349" s="608">
        <v>1.0</v>
      </c>
      <c r="W349" s="403">
        <v>1.0</v>
      </c>
      <c r="X349" s="117"/>
      <c r="Y349" s="173"/>
      <c r="Z349" s="65"/>
    </row>
    <row r="350" ht="14.25" customHeight="1">
      <c r="B350" s="113"/>
      <c r="D350" s="563"/>
      <c r="E350" s="571"/>
      <c r="L350" s="61"/>
      <c r="M350" s="62"/>
      <c r="N350" s="63"/>
      <c r="O350" s="62"/>
      <c r="P350" s="63"/>
      <c r="Q350" s="62"/>
      <c r="R350" s="63"/>
      <c r="S350" s="62"/>
      <c r="T350" s="63"/>
      <c r="U350" s="62"/>
      <c r="V350" s="63"/>
      <c r="W350" s="62"/>
      <c r="X350" s="117"/>
      <c r="Y350" s="173"/>
      <c r="Z350" s="65"/>
    </row>
    <row r="351" ht="14.25" customHeight="1">
      <c r="B351" s="113"/>
      <c r="D351" s="559"/>
      <c r="E351" s="559" t="s">
        <v>1049</v>
      </c>
      <c r="L351" s="61"/>
      <c r="M351" s="62"/>
      <c r="N351" s="63"/>
      <c r="O351" s="62"/>
      <c r="P351" s="63"/>
      <c r="Q351" s="62"/>
      <c r="R351" s="63"/>
      <c r="S351" s="62"/>
      <c r="T351" s="63"/>
      <c r="U351" s="62"/>
      <c r="V351" s="63"/>
      <c r="W351" s="62"/>
      <c r="X351" s="117"/>
      <c r="Y351" s="173"/>
      <c r="Z351" s="65"/>
    </row>
    <row r="352" ht="14.25" customHeight="1">
      <c r="B352" s="113"/>
      <c r="D352" s="569"/>
      <c r="E352" s="564" t="s">
        <v>1053</v>
      </c>
      <c r="L352" s="61"/>
      <c r="M352" s="62"/>
      <c r="N352" s="241"/>
      <c r="O352" s="567"/>
      <c r="P352" s="241"/>
      <c r="Q352" s="567"/>
      <c r="R352" s="241"/>
      <c r="S352" s="567"/>
      <c r="T352" s="241"/>
      <c r="U352" s="567"/>
      <c r="V352" s="241"/>
      <c r="W352" s="62"/>
      <c r="X352" s="117"/>
      <c r="Y352" s="173"/>
      <c r="Z352" s="65"/>
    </row>
    <row r="353" ht="14.25" customHeight="1">
      <c r="B353" s="113"/>
      <c r="D353" s="559"/>
      <c r="E353" s="568"/>
      <c r="L353" s="61"/>
      <c r="M353" s="62"/>
      <c r="N353" s="63"/>
      <c r="O353" s="62"/>
      <c r="P353" s="63"/>
      <c r="Q353" s="62"/>
      <c r="R353" s="63"/>
      <c r="S353" s="62"/>
      <c r="T353" s="63"/>
      <c r="U353" s="62"/>
      <c r="V353" s="63"/>
      <c r="W353" s="62"/>
      <c r="X353" s="117"/>
      <c r="Y353" s="173"/>
      <c r="Z353" s="65"/>
    </row>
    <row r="354" ht="14.25" customHeight="1">
      <c r="B354" s="113"/>
      <c r="D354" s="560" t="s">
        <v>1054</v>
      </c>
      <c r="E354" s="561"/>
      <c r="L354" s="61"/>
      <c r="M354" s="62"/>
      <c r="N354" s="63"/>
      <c r="O354" s="62"/>
      <c r="P354" s="63"/>
      <c r="Q354" s="62"/>
      <c r="R354" s="63"/>
      <c r="S354" s="62"/>
      <c r="T354" s="63"/>
      <c r="U354" s="62"/>
      <c r="V354" s="63"/>
      <c r="W354" s="62"/>
      <c r="X354" s="117"/>
      <c r="Y354" s="173"/>
      <c r="Z354" s="65"/>
    </row>
    <row r="355" ht="14.25" customHeight="1">
      <c r="B355" s="113"/>
      <c r="D355" s="572"/>
      <c r="E355" s="573" t="s">
        <v>1043</v>
      </c>
      <c r="L355" s="61"/>
      <c r="M355" s="62"/>
      <c r="N355" s="63"/>
      <c r="O355" s="62"/>
      <c r="P355" s="63"/>
      <c r="Q355" s="62"/>
      <c r="R355" s="63"/>
      <c r="S355" s="62"/>
      <c r="T355" s="63"/>
      <c r="U355" s="62"/>
      <c r="V355" s="63"/>
      <c r="W355" s="62"/>
      <c r="X355" s="117"/>
      <c r="Y355" s="173"/>
      <c r="Z355" s="65"/>
    </row>
    <row r="356" ht="14.25" customHeight="1">
      <c r="B356" s="113"/>
      <c r="D356" s="574"/>
      <c r="E356" s="564" t="s">
        <v>1055</v>
      </c>
      <c r="L356" s="61"/>
      <c r="M356" s="62"/>
      <c r="N356" s="63">
        <v>19417.0</v>
      </c>
      <c r="O356" s="62">
        <v>19417.0</v>
      </c>
      <c r="P356" s="63">
        <v>19417.0</v>
      </c>
      <c r="Q356" s="62">
        <v>19417.0</v>
      </c>
      <c r="R356" s="63"/>
      <c r="S356" s="62">
        <v>15813.0</v>
      </c>
      <c r="T356" s="63">
        <v>15813.0</v>
      </c>
      <c r="U356" s="62">
        <v>2801.0</v>
      </c>
      <c r="V356" s="63">
        <v>6758.0</v>
      </c>
      <c r="W356" s="62"/>
      <c r="X356" s="117"/>
      <c r="Y356" s="173"/>
      <c r="Z356" s="65"/>
    </row>
    <row r="357" ht="14.25" customHeight="1">
      <c r="B357" s="113"/>
      <c r="D357" s="574"/>
      <c r="E357" s="565"/>
      <c r="L357" s="61"/>
      <c r="M357" s="62"/>
      <c r="N357" s="63"/>
      <c r="O357" s="62"/>
      <c r="P357" s="63"/>
      <c r="Q357" s="62"/>
      <c r="R357" s="63"/>
      <c r="S357" s="62"/>
      <c r="T357" s="63"/>
      <c r="U357" s="62"/>
      <c r="V357" s="63"/>
      <c r="W357" s="62"/>
      <c r="X357" s="117"/>
      <c r="Y357" s="173"/>
      <c r="Z357" s="65"/>
    </row>
    <row r="358" ht="14.25" customHeight="1">
      <c r="B358" s="113"/>
      <c r="D358" s="574"/>
      <c r="E358" s="573" t="s">
        <v>1046</v>
      </c>
      <c r="L358" s="61"/>
      <c r="M358" s="62"/>
      <c r="N358" s="241"/>
      <c r="O358" s="567"/>
      <c r="P358" s="241"/>
      <c r="Q358" s="567"/>
      <c r="R358" s="241"/>
      <c r="S358" s="567"/>
      <c r="T358" s="241"/>
      <c r="U358" s="567"/>
      <c r="V358" s="241"/>
      <c r="W358" s="62"/>
      <c r="X358" s="117"/>
      <c r="Y358" s="173"/>
      <c r="Z358" s="65"/>
    </row>
    <row r="359" ht="14.25" customHeight="1">
      <c r="B359" s="113"/>
      <c r="D359" s="575"/>
      <c r="E359" s="576" t="s">
        <v>1056</v>
      </c>
      <c r="L359" s="61"/>
      <c r="M359" s="62"/>
      <c r="N359" s="241">
        <v>0.0</v>
      </c>
      <c r="O359" s="567">
        <v>0.0</v>
      </c>
      <c r="P359" s="241">
        <v>0.0</v>
      </c>
      <c r="Q359" s="567">
        <v>0.0</v>
      </c>
      <c r="R359" s="241">
        <v>0.0</v>
      </c>
      <c r="S359" s="241">
        <v>0.0</v>
      </c>
      <c r="T359" s="567">
        <v>0.0</v>
      </c>
      <c r="U359" s="241">
        <v>0.0</v>
      </c>
      <c r="V359" s="567">
        <v>0.0</v>
      </c>
      <c r="W359" s="241">
        <v>0.0</v>
      </c>
      <c r="X359" s="117"/>
      <c r="Y359" s="173"/>
      <c r="Z359" s="65"/>
    </row>
    <row r="360" ht="14.25" customHeight="1">
      <c r="B360" s="113"/>
      <c r="D360" s="574"/>
      <c r="E360" s="565"/>
      <c r="L360" s="61"/>
      <c r="M360" s="62"/>
      <c r="N360" s="241"/>
      <c r="O360" s="567"/>
      <c r="P360" s="241"/>
      <c r="Q360" s="567"/>
      <c r="R360" s="241"/>
      <c r="S360" s="567"/>
      <c r="T360" s="241"/>
      <c r="U360" s="567"/>
      <c r="V360" s="241"/>
      <c r="W360" s="62"/>
      <c r="X360" s="117"/>
      <c r="Y360" s="173"/>
      <c r="Z360" s="65"/>
    </row>
    <row r="361" ht="14.25" customHeight="1">
      <c r="B361" s="113"/>
      <c r="D361" s="574"/>
      <c r="E361" s="573" t="s">
        <v>1049</v>
      </c>
      <c r="L361" s="61"/>
      <c r="M361" s="62"/>
      <c r="N361" s="241"/>
      <c r="O361" s="567"/>
      <c r="P361" s="241"/>
      <c r="Q361" s="567"/>
      <c r="R361" s="241"/>
      <c r="S361" s="567"/>
      <c r="T361" s="241"/>
      <c r="U361" s="567"/>
      <c r="V361" s="241"/>
      <c r="W361" s="62"/>
      <c r="X361" s="117"/>
      <c r="Y361" s="173"/>
      <c r="Z361" s="65"/>
    </row>
    <row r="362" ht="14.25" customHeight="1">
      <c r="B362" s="113"/>
      <c r="D362" s="574"/>
      <c r="E362" s="564" t="s">
        <v>1057</v>
      </c>
      <c r="L362" s="61"/>
      <c r="M362" s="62"/>
      <c r="N362" s="241">
        <v>1.0</v>
      </c>
      <c r="O362" s="567">
        <v>1.0</v>
      </c>
      <c r="P362" s="241">
        <v>1.0</v>
      </c>
      <c r="Q362" s="567">
        <v>1.0</v>
      </c>
      <c r="R362" s="241">
        <v>1.0</v>
      </c>
      <c r="S362" s="241">
        <v>1.0</v>
      </c>
      <c r="T362" s="567">
        <v>1.0</v>
      </c>
      <c r="U362" s="241">
        <v>1.0</v>
      </c>
      <c r="V362" s="567">
        <v>1.0</v>
      </c>
      <c r="W362" s="241">
        <v>1.0</v>
      </c>
      <c r="X362" s="117"/>
      <c r="Y362" s="173"/>
      <c r="Z362" s="65"/>
    </row>
    <row r="363" ht="14.25" customHeight="1">
      <c r="B363" s="113"/>
      <c r="D363" s="574"/>
      <c r="E363" s="565"/>
      <c r="L363" s="61"/>
      <c r="M363" s="62"/>
      <c r="N363" s="63"/>
      <c r="O363" s="62"/>
      <c r="P363" s="63"/>
      <c r="Q363" s="62"/>
      <c r="R363" s="63"/>
      <c r="S363" s="62"/>
      <c r="T363" s="63"/>
      <c r="U363" s="62"/>
      <c r="V363" s="63"/>
      <c r="W363" s="62"/>
      <c r="X363" s="117"/>
      <c r="Y363" s="173"/>
      <c r="Z363" s="65"/>
    </row>
    <row r="364" ht="14.25" customHeight="1">
      <c r="B364" s="113"/>
      <c r="D364" s="560" t="s">
        <v>1217</v>
      </c>
      <c r="E364" s="561"/>
      <c r="L364" s="61"/>
      <c r="M364" s="62"/>
      <c r="N364" s="63"/>
      <c r="O364" s="62"/>
      <c r="P364" s="63"/>
      <c r="Q364" s="62"/>
      <c r="R364" s="63"/>
      <c r="S364" s="62"/>
      <c r="T364" s="63"/>
      <c r="U364" s="62"/>
      <c r="V364" s="63"/>
      <c r="W364" s="62"/>
      <c r="X364" s="117"/>
      <c r="Y364" s="173"/>
      <c r="Z364" s="65"/>
    </row>
    <row r="365" ht="14.25" customHeight="1">
      <c r="B365" s="113"/>
      <c r="D365" s="569"/>
      <c r="E365" s="573" t="s">
        <v>1043</v>
      </c>
      <c r="L365" s="61"/>
      <c r="M365" s="62"/>
      <c r="N365" s="63"/>
      <c r="O365" s="62"/>
      <c r="P365" s="63"/>
      <c r="Q365" s="62"/>
      <c r="R365" s="63"/>
      <c r="S365" s="62"/>
      <c r="T365" s="63"/>
      <c r="U365" s="62"/>
      <c r="V365" s="63"/>
      <c r="W365" s="62"/>
      <c r="X365" s="117"/>
      <c r="Y365" s="173"/>
      <c r="Z365" s="65"/>
    </row>
    <row r="366" ht="14.25" customHeight="1">
      <c r="B366" s="113"/>
      <c r="D366" s="563"/>
      <c r="E366" s="577" t="s">
        <v>1059</v>
      </c>
      <c r="L366" s="61"/>
      <c r="M366" s="62"/>
      <c r="N366" s="63"/>
      <c r="O366" s="62"/>
      <c r="P366" s="63"/>
      <c r="Q366" s="62"/>
      <c r="R366" s="63"/>
      <c r="S366" s="62"/>
      <c r="T366" s="63"/>
      <c r="U366" s="62"/>
      <c r="V366" s="63"/>
      <c r="W366" s="62"/>
      <c r="X366" s="117"/>
      <c r="Y366" s="173"/>
      <c r="Z366" s="65"/>
    </row>
    <row r="367" ht="14.25" customHeight="1">
      <c r="B367" s="113"/>
      <c r="D367" s="563"/>
      <c r="E367" s="577" t="s">
        <v>1060</v>
      </c>
      <c r="L367" s="61"/>
      <c r="M367" s="62"/>
      <c r="N367" s="63"/>
      <c r="O367" s="62"/>
      <c r="P367" s="63"/>
      <c r="Q367" s="62"/>
      <c r="R367" s="63"/>
      <c r="S367" s="62"/>
      <c r="T367" s="63"/>
      <c r="U367" s="62"/>
      <c r="V367" s="63"/>
      <c r="W367" s="62"/>
      <c r="X367" s="117"/>
      <c r="Y367" s="173"/>
      <c r="Z367" s="65"/>
    </row>
    <row r="368" ht="14.25" customHeight="1">
      <c r="B368" s="113"/>
      <c r="D368" s="563"/>
      <c r="E368" s="577" t="s">
        <v>1061</v>
      </c>
      <c r="L368" s="61"/>
      <c r="M368" s="62"/>
      <c r="N368" s="63"/>
      <c r="O368" s="62"/>
      <c r="P368" s="63"/>
      <c r="Q368" s="62"/>
      <c r="R368" s="63"/>
      <c r="S368" s="62"/>
      <c r="T368" s="63"/>
      <c r="U368" s="62"/>
      <c r="V368" s="63"/>
      <c r="W368" s="62"/>
      <c r="X368" s="117"/>
      <c r="Y368" s="173"/>
      <c r="Z368" s="65"/>
    </row>
    <row r="369" ht="14.25" customHeight="1">
      <c r="B369" s="113"/>
      <c r="D369" s="563"/>
      <c r="E369" s="577" t="s">
        <v>1062</v>
      </c>
      <c r="L369" s="61"/>
      <c r="M369" s="62"/>
      <c r="N369" s="63"/>
      <c r="O369" s="62"/>
      <c r="P369" s="63"/>
      <c r="Q369" s="62"/>
      <c r="R369" s="63"/>
      <c r="S369" s="62"/>
      <c r="T369" s="63"/>
      <c r="U369" s="62"/>
      <c r="V369" s="63"/>
      <c r="W369" s="62"/>
      <c r="X369" s="117"/>
      <c r="Y369" s="173"/>
      <c r="Z369" s="65"/>
    </row>
    <row r="370" ht="14.25" customHeight="1">
      <c r="B370" s="113"/>
      <c r="D370" s="572"/>
      <c r="E370" s="573" t="s">
        <v>1046</v>
      </c>
      <c r="L370" s="61"/>
      <c r="M370" s="62"/>
      <c r="N370" s="63"/>
      <c r="O370" s="62"/>
      <c r="P370" s="63"/>
      <c r="Q370" s="62"/>
      <c r="R370" s="63"/>
      <c r="S370" s="62"/>
      <c r="T370" s="63"/>
      <c r="U370" s="62"/>
      <c r="V370" s="63"/>
      <c r="W370" s="62"/>
      <c r="X370" s="117"/>
      <c r="Y370" s="173"/>
      <c r="Z370" s="65"/>
    </row>
    <row r="371" ht="14.25" customHeight="1">
      <c r="B371" s="113"/>
      <c r="D371" s="563"/>
      <c r="E371" s="577" t="s">
        <v>1063</v>
      </c>
      <c r="L371" s="61"/>
      <c r="M371" s="62"/>
      <c r="N371" s="63"/>
      <c r="O371" s="62"/>
      <c r="P371" s="63"/>
      <c r="Q371" s="62"/>
      <c r="R371" s="63"/>
      <c r="S371" s="62"/>
      <c r="T371" s="63"/>
      <c r="U371" s="62"/>
      <c r="V371" s="63"/>
      <c r="W371" s="62"/>
      <c r="X371" s="117"/>
      <c r="Y371" s="173"/>
      <c r="Z371" s="65"/>
    </row>
    <row r="372" ht="14.25" customHeight="1">
      <c r="B372" s="113"/>
      <c r="D372" s="563"/>
      <c r="E372" s="577" t="s">
        <v>1064</v>
      </c>
      <c r="L372" s="61"/>
      <c r="M372" s="62"/>
      <c r="N372" s="63"/>
      <c r="O372" s="62"/>
      <c r="P372" s="63"/>
      <c r="Q372" s="62"/>
      <c r="R372" s="63"/>
      <c r="S372" s="62"/>
      <c r="T372" s="63"/>
      <c r="U372" s="62"/>
      <c r="V372" s="63"/>
      <c r="W372" s="62"/>
      <c r="X372" s="117"/>
      <c r="Y372" s="173"/>
      <c r="Z372" s="65"/>
    </row>
    <row r="373" ht="14.25" customHeight="1">
      <c r="B373" s="113"/>
      <c r="D373" s="572"/>
      <c r="E373" s="577" t="s">
        <v>1065</v>
      </c>
      <c r="L373" s="61"/>
      <c r="M373" s="62"/>
      <c r="N373" s="63"/>
      <c r="O373" s="62"/>
      <c r="P373" s="63"/>
      <c r="Q373" s="62"/>
      <c r="R373" s="63"/>
      <c r="S373" s="62"/>
      <c r="T373" s="63"/>
      <c r="U373" s="62"/>
      <c r="V373" s="63"/>
      <c r="W373" s="62"/>
      <c r="X373" s="117"/>
      <c r="Y373" s="173"/>
      <c r="Z373" s="65"/>
    </row>
    <row r="374" ht="14.25" customHeight="1">
      <c r="B374" s="113"/>
      <c r="D374" s="572"/>
      <c r="E374" s="577" t="s">
        <v>1066</v>
      </c>
      <c r="L374" s="61"/>
      <c r="M374" s="62"/>
      <c r="N374" s="63"/>
      <c r="O374" s="62"/>
      <c r="P374" s="63"/>
      <c r="Q374" s="62"/>
      <c r="R374" s="63"/>
      <c r="S374" s="62"/>
      <c r="T374" s="63"/>
      <c r="U374" s="62"/>
      <c r="V374" s="63"/>
      <c r="W374" s="62"/>
      <c r="X374" s="117"/>
      <c r="Y374" s="173"/>
      <c r="Z374" s="65"/>
    </row>
    <row r="375" ht="14.25" customHeight="1">
      <c r="B375" s="113"/>
      <c r="D375" s="572"/>
      <c r="E375" s="578"/>
      <c r="L375" s="61"/>
      <c r="M375" s="62"/>
      <c r="N375" s="63"/>
      <c r="O375" s="62"/>
      <c r="P375" s="63"/>
      <c r="Q375" s="62"/>
      <c r="R375" s="63"/>
      <c r="S375" s="62"/>
      <c r="T375" s="63"/>
      <c r="U375" s="62"/>
      <c r="V375" s="63"/>
      <c r="W375" s="62"/>
      <c r="X375" s="117"/>
      <c r="Y375" s="173"/>
      <c r="Z375" s="65"/>
    </row>
    <row r="376" ht="14.25" customHeight="1">
      <c r="B376" s="113"/>
      <c r="D376" s="572"/>
      <c r="E376" s="573" t="s">
        <v>1049</v>
      </c>
      <c r="L376" s="61"/>
      <c r="M376" s="62"/>
      <c r="N376" s="63"/>
      <c r="O376" s="62"/>
      <c r="P376" s="63"/>
      <c r="Q376" s="62"/>
      <c r="R376" s="63"/>
      <c r="S376" s="62"/>
      <c r="T376" s="63"/>
      <c r="U376" s="62"/>
      <c r="V376" s="63"/>
      <c r="W376" s="62"/>
      <c r="X376" s="117"/>
      <c r="Y376" s="173"/>
      <c r="Z376" s="65"/>
    </row>
    <row r="377" ht="14.25" customHeight="1">
      <c r="B377" s="113"/>
      <c r="D377" s="563"/>
      <c r="E377" s="577" t="s">
        <v>1067</v>
      </c>
      <c r="L377" s="61"/>
      <c r="M377" s="62"/>
      <c r="N377" s="63"/>
      <c r="O377" s="62"/>
      <c r="P377" s="63"/>
      <c r="Q377" s="62"/>
      <c r="R377" s="63"/>
      <c r="S377" s="62"/>
      <c r="T377" s="63"/>
      <c r="U377" s="62"/>
      <c r="V377" s="63"/>
      <c r="W377" s="62"/>
      <c r="X377" s="117"/>
      <c r="Y377" s="173"/>
      <c r="Z377" s="65"/>
    </row>
    <row r="378" ht="14.25" customHeight="1">
      <c r="B378" s="113"/>
      <c r="D378" s="572"/>
      <c r="E378" s="577" t="s">
        <v>1068</v>
      </c>
      <c r="L378" s="61"/>
      <c r="M378" s="62"/>
      <c r="N378" s="63"/>
      <c r="O378" s="62"/>
      <c r="P378" s="63"/>
      <c r="Q378" s="62"/>
      <c r="R378" s="63"/>
      <c r="S378" s="62"/>
      <c r="T378" s="63"/>
      <c r="U378" s="62"/>
      <c r="V378" s="63"/>
      <c r="W378" s="62"/>
      <c r="X378" s="117"/>
      <c r="Y378" s="173"/>
      <c r="Z378" s="65"/>
    </row>
    <row r="379" ht="14.25" customHeight="1">
      <c r="B379" s="113"/>
      <c r="D379" s="572"/>
      <c r="E379" s="577" t="s">
        <v>1069</v>
      </c>
      <c r="L379" s="61"/>
      <c r="M379" s="62"/>
      <c r="N379" s="63"/>
      <c r="O379" s="62"/>
      <c r="P379" s="63"/>
      <c r="Q379" s="62"/>
      <c r="R379" s="63"/>
      <c r="S379" s="62"/>
      <c r="T379" s="63"/>
      <c r="U379" s="62"/>
      <c r="V379" s="63"/>
      <c r="W379" s="62"/>
      <c r="X379" s="117"/>
      <c r="Y379" s="173"/>
      <c r="Z379" s="65"/>
    </row>
    <row r="380" ht="14.25" customHeight="1">
      <c r="B380" s="113"/>
      <c r="D380" s="572"/>
      <c r="E380" s="577" t="s">
        <v>1070</v>
      </c>
      <c r="L380" s="61"/>
      <c r="M380" s="62"/>
      <c r="N380" s="63"/>
      <c r="O380" s="62"/>
      <c r="P380" s="63"/>
      <c r="Q380" s="62"/>
      <c r="R380" s="63"/>
      <c r="S380" s="62"/>
      <c r="T380" s="63"/>
      <c r="U380" s="62"/>
      <c r="V380" s="63"/>
      <c r="W380" s="62"/>
      <c r="X380" s="117"/>
      <c r="Y380" s="173"/>
      <c r="Z380" s="65"/>
    </row>
    <row r="381" ht="14.25" customHeight="1">
      <c r="B381" s="113"/>
      <c r="D381" s="560" t="s">
        <v>1071</v>
      </c>
      <c r="E381" s="561"/>
      <c r="L381" s="61"/>
      <c r="M381" s="62"/>
      <c r="N381" s="63"/>
      <c r="O381" s="62"/>
      <c r="P381" s="63"/>
      <c r="Q381" s="62"/>
      <c r="R381" s="63"/>
      <c r="S381" s="62"/>
      <c r="T381" s="63"/>
      <c r="U381" s="62"/>
      <c r="V381" s="63"/>
      <c r="W381" s="62"/>
      <c r="X381" s="117"/>
      <c r="Y381" s="173"/>
      <c r="Z381" s="65"/>
    </row>
    <row r="382" ht="14.25" customHeight="1">
      <c r="B382" s="113"/>
      <c r="D382" s="574"/>
      <c r="E382" s="573" t="s">
        <v>1043</v>
      </c>
      <c r="L382" s="61"/>
      <c r="M382" s="62"/>
      <c r="N382" s="63"/>
      <c r="O382" s="62"/>
      <c r="P382" s="63"/>
      <c r="Q382" s="62"/>
      <c r="R382" s="63"/>
      <c r="S382" s="62"/>
      <c r="T382" s="63"/>
      <c r="U382" s="62"/>
      <c r="V382" s="63"/>
      <c r="W382" s="62"/>
      <c r="X382" s="117"/>
      <c r="Y382" s="173"/>
      <c r="Z382" s="65"/>
    </row>
    <row r="383" ht="14.25" customHeight="1">
      <c r="B383" s="113"/>
      <c r="D383" s="575"/>
      <c r="E383" s="564" t="s">
        <v>1072</v>
      </c>
      <c r="L383" s="61"/>
      <c r="M383" s="62"/>
      <c r="N383" s="63"/>
      <c r="O383" s="62"/>
      <c r="P383" s="63"/>
      <c r="Q383" s="62"/>
      <c r="R383" s="63"/>
      <c r="S383" s="62">
        <v>3809.0</v>
      </c>
      <c r="T383" s="63" t="s">
        <v>1218</v>
      </c>
      <c r="U383" s="62">
        <v>917.0</v>
      </c>
      <c r="V383" s="63"/>
      <c r="W383" s="62"/>
      <c r="X383" s="117"/>
      <c r="Y383" s="173"/>
      <c r="Z383" s="65"/>
    </row>
    <row r="384" ht="14.25" customHeight="1">
      <c r="B384" s="113"/>
      <c r="D384" s="575"/>
      <c r="E384" s="565"/>
      <c r="L384" s="61"/>
      <c r="M384" s="62"/>
      <c r="N384" s="63"/>
      <c r="O384" s="62"/>
      <c r="P384" s="63"/>
      <c r="Q384" s="62"/>
      <c r="R384" s="63"/>
      <c r="S384" s="62"/>
      <c r="T384" s="63"/>
      <c r="U384" s="62"/>
      <c r="V384" s="63"/>
      <c r="W384" s="62"/>
      <c r="X384" s="117"/>
      <c r="Y384" s="173"/>
      <c r="Z384" s="65"/>
    </row>
    <row r="385" ht="14.25" customHeight="1">
      <c r="B385" s="113"/>
      <c r="D385" s="574"/>
      <c r="E385" s="573" t="s">
        <v>1046</v>
      </c>
      <c r="L385" s="61"/>
      <c r="M385" s="62"/>
      <c r="N385" s="63"/>
      <c r="O385" s="62"/>
      <c r="P385" s="63"/>
      <c r="Q385" s="62"/>
      <c r="R385" s="63"/>
      <c r="S385" s="62"/>
      <c r="T385" s="63"/>
      <c r="U385" s="62"/>
      <c r="V385" s="63"/>
      <c r="W385" s="62"/>
      <c r="X385" s="117"/>
      <c r="Y385" s="173"/>
      <c r="Z385" s="65"/>
    </row>
    <row r="386" ht="14.25" customHeight="1">
      <c r="B386" s="113"/>
      <c r="D386" s="575"/>
      <c r="E386" s="564" t="s">
        <v>1073</v>
      </c>
      <c r="L386" s="61"/>
      <c r="M386" s="62"/>
      <c r="N386" s="241"/>
      <c r="O386" s="567"/>
      <c r="P386" s="241"/>
      <c r="Q386" s="567"/>
      <c r="R386" s="241"/>
      <c r="S386" s="567">
        <v>0.0</v>
      </c>
      <c r="T386" s="241">
        <v>0.0</v>
      </c>
      <c r="U386" s="567">
        <v>0.0</v>
      </c>
      <c r="V386" s="241"/>
      <c r="W386" s="62"/>
      <c r="X386" s="117"/>
      <c r="Y386" s="173"/>
      <c r="Z386" s="65"/>
    </row>
    <row r="387" ht="14.25" customHeight="1">
      <c r="B387" s="113"/>
      <c r="D387" s="574"/>
      <c r="E387" s="565"/>
      <c r="L387" s="61"/>
      <c r="M387" s="62"/>
      <c r="N387" s="241"/>
      <c r="O387" s="567"/>
      <c r="P387" s="241"/>
      <c r="Q387" s="567"/>
      <c r="R387" s="241"/>
      <c r="S387" s="567"/>
      <c r="T387" s="241"/>
      <c r="U387" s="567"/>
      <c r="V387" s="241"/>
      <c r="W387" s="62"/>
      <c r="X387" s="117"/>
      <c r="Y387" s="173"/>
      <c r="Z387" s="65"/>
    </row>
    <row r="388" ht="14.25" customHeight="1">
      <c r="B388" s="113"/>
      <c r="D388" s="574"/>
      <c r="E388" s="573" t="s">
        <v>1049</v>
      </c>
      <c r="L388" s="61"/>
      <c r="M388" s="62"/>
      <c r="N388" s="241"/>
      <c r="O388" s="567"/>
      <c r="P388" s="241"/>
      <c r="Q388" s="567"/>
      <c r="R388" s="241"/>
      <c r="S388" s="567"/>
      <c r="T388" s="241"/>
      <c r="U388" s="567"/>
      <c r="V388" s="241"/>
      <c r="W388" s="62"/>
      <c r="X388" s="117"/>
      <c r="Y388" s="173"/>
      <c r="Z388" s="65"/>
    </row>
    <row r="389" ht="14.25" customHeight="1">
      <c r="B389" s="113"/>
      <c r="D389" s="575"/>
      <c r="E389" s="576" t="s">
        <v>1074</v>
      </c>
      <c r="L389" s="61"/>
      <c r="M389" s="62"/>
      <c r="N389" s="241"/>
      <c r="O389" s="567"/>
      <c r="P389" s="241"/>
      <c r="Q389" s="567"/>
      <c r="R389" s="241"/>
      <c r="S389" s="567">
        <v>1.0</v>
      </c>
      <c r="T389" s="241">
        <v>1.0</v>
      </c>
      <c r="U389" s="567">
        <v>1.0</v>
      </c>
      <c r="V389" s="241"/>
      <c r="W389" s="62"/>
      <c r="X389" s="117"/>
      <c r="Y389" s="173"/>
      <c r="Z389" s="65"/>
    </row>
    <row r="390" ht="14.25" customHeight="1">
      <c r="B390" s="113"/>
      <c r="L390" s="61"/>
      <c r="M390" s="62"/>
      <c r="N390" s="241"/>
      <c r="O390" s="567"/>
      <c r="P390" s="241"/>
      <c r="Q390" s="567"/>
      <c r="R390" s="241"/>
      <c r="S390" s="567"/>
      <c r="T390" s="241"/>
      <c r="U390" s="567"/>
      <c r="V390" s="241"/>
      <c r="W390" s="62"/>
      <c r="X390" s="117"/>
      <c r="Y390" s="173"/>
      <c r="Z390" s="65"/>
    </row>
    <row r="391" ht="14.25" customHeight="1">
      <c r="B391" s="113"/>
      <c r="L391" s="61"/>
      <c r="M391" s="62"/>
      <c r="N391" s="63"/>
      <c r="O391" s="62"/>
      <c r="P391" s="63"/>
      <c r="Q391" s="62"/>
      <c r="R391" s="63"/>
      <c r="S391" s="62"/>
      <c r="T391" s="63"/>
      <c r="U391" s="62"/>
      <c r="V391" s="63"/>
      <c r="W391" s="62"/>
      <c r="X391" s="117"/>
      <c r="Y391" s="173"/>
      <c r="Z391" s="65"/>
    </row>
    <row r="392" ht="14.25" customHeight="1">
      <c r="B392" s="60" t="s">
        <v>1040</v>
      </c>
      <c r="C392" s="579"/>
      <c r="D392" s="579"/>
      <c r="E392" s="579"/>
      <c r="F392" s="579"/>
      <c r="G392" s="579"/>
      <c r="H392" s="579"/>
      <c r="I392" s="579"/>
      <c r="J392" s="579"/>
      <c r="K392" s="579"/>
      <c r="L392" s="580"/>
      <c r="M392" s="581"/>
      <c r="N392" s="63"/>
      <c r="O392" s="62"/>
      <c r="P392" s="63"/>
      <c r="Q392" s="62"/>
      <c r="R392" s="63"/>
      <c r="S392" s="62"/>
      <c r="T392" s="63"/>
      <c r="U392" s="62"/>
      <c r="V392" s="63"/>
      <c r="W392" s="62"/>
      <c r="X392" s="117"/>
      <c r="Y392" s="173"/>
      <c r="Z392" s="65"/>
    </row>
    <row r="393" ht="14.25" customHeight="1">
      <c r="B393" s="60" t="s">
        <v>1075</v>
      </c>
      <c r="C393" s="579"/>
      <c r="D393" s="579"/>
      <c r="E393" s="579"/>
      <c r="F393" s="579"/>
      <c r="G393" s="579"/>
      <c r="H393" s="579"/>
      <c r="I393" s="579"/>
      <c r="J393" s="579"/>
      <c r="K393" s="579"/>
      <c r="L393" s="580"/>
      <c r="M393" s="581"/>
      <c r="N393" s="63"/>
      <c r="O393" s="62"/>
      <c r="P393" s="63"/>
      <c r="Q393" s="62"/>
      <c r="R393" s="63"/>
      <c r="S393" s="62"/>
      <c r="T393" s="63"/>
      <c r="U393" s="62"/>
      <c r="V393" s="63"/>
      <c r="W393" s="62"/>
      <c r="X393" s="117"/>
      <c r="Y393" s="173"/>
      <c r="Z393" s="65"/>
    </row>
    <row r="394" ht="14.25" customHeight="1">
      <c r="B394" s="113"/>
      <c r="L394" s="61"/>
      <c r="M394" s="62"/>
      <c r="N394" s="63"/>
      <c r="O394" s="62"/>
      <c r="P394" s="63"/>
      <c r="Q394" s="62"/>
      <c r="R394" s="63"/>
      <c r="S394" s="62"/>
      <c r="T394" s="63"/>
      <c r="U394" s="62"/>
      <c r="V394" s="63"/>
      <c r="W394" s="62"/>
      <c r="X394" s="117"/>
      <c r="Y394" s="173"/>
      <c r="Z394" s="65"/>
    </row>
    <row r="395" ht="14.25" customHeight="1">
      <c r="B395" s="113"/>
      <c r="D395" s="560" t="s">
        <v>1076</v>
      </c>
      <c r="E395" s="561"/>
      <c r="L395" s="61"/>
      <c r="M395" s="62"/>
      <c r="N395" s="63"/>
      <c r="O395" s="62"/>
      <c r="P395" s="63"/>
      <c r="Q395" s="62"/>
      <c r="R395" s="63"/>
      <c r="S395" s="62"/>
      <c r="T395" s="63"/>
      <c r="U395" s="62"/>
      <c r="V395" s="63"/>
      <c r="W395" s="62"/>
      <c r="X395" s="117"/>
      <c r="Y395" s="173"/>
      <c r="Z395" s="65"/>
    </row>
    <row r="396" ht="14.25" customHeight="1">
      <c r="B396" s="113"/>
      <c r="D396" s="559"/>
      <c r="E396" s="559" t="s">
        <v>1043</v>
      </c>
      <c r="L396" s="61"/>
      <c r="M396" s="62"/>
      <c r="N396" s="63">
        <v>250000.0</v>
      </c>
      <c r="O396" s="62">
        <v>250000.0</v>
      </c>
      <c r="P396" s="63">
        <v>284409.0</v>
      </c>
      <c r="Q396" s="62"/>
      <c r="R396" s="63"/>
      <c r="S396" s="62">
        <v>248241.0</v>
      </c>
      <c r="T396" s="63">
        <v>248005.0</v>
      </c>
      <c r="U396" s="62">
        <v>261227.0</v>
      </c>
      <c r="V396" s="63">
        <v>258889.0</v>
      </c>
      <c r="W396" s="62"/>
      <c r="X396" s="117"/>
      <c r="Y396" s="173"/>
      <c r="Z396" s="65"/>
    </row>
    <row r="397" ht="14.25" customHeight="1">
      <c r="B397" s="113"/>
      <c r="D397" s="559"/>
      <c r="E397" s="576" t="s">
        <v>1077</v>
      </c>
      <c r="L397" s="61"/>
      <c r="M397" s="62"/>
      <c r="N397" s="63"/>
      <c r="O397" s="62"/>
      <c r="P397" s="63"/>
      <c r="Q397" s="62"/>
      <c r="R397" s="63"/>
      <c r="S397" s="62"/>
      <c r="T397" s="63"/>
      <c r="U397" s="62"/>
      <c r="V397" s="63"/>
      <c r="W397" s="62"/>
      <c r="X397" s="117"/>
      <c r="Y397" s="173"/>
      <c r="Z397" s="65"/>
    </row>
    <row r="398" ht="14.25" customHeight="1">
      <c r="B398" s="113"/>
      <c r="D398" s="559"/>
      <c r="E398" s="565"/>
      <c r="L398" s="61"/>
      <c r="M398" s="62"/>
      <c r="N398" s="63"/>
      <c r="O398" s="62"/>
      <c r="P398" s="63"/>
      <c r="Q398" s="62"/>
      <c r="R398" s="63"/>
      <c r="S398" s="62"/>
      <c r="T398" s="63"/>
      <c r="U398" s="62"/>
      <c r="V398" s="63"/>
      <c r="W398" s="62"/>
      <c r="X398" s="117"/>
      <c r="Y398" s="173"/>
      <c r="Z398" s="65"/>
    </row>
    <row r="399" ht="14.25" customHeight="1">
      <c r="B399" s="113"/>
      <c r="D399" s="559"/>
      <c r="E399" s="559" t="s">
        <v>1046</v>
      </c>
      <c r="L399" s="61"/>
      <c r="M399" s="62"/>
      <c r="N399" s="63"/>
      <c r="O399" s="62"/>
      <c r="P399" s="63"/>
      <c r="Q399" s="62"/>
      <c r="R399" s="63"/>
      <c r="S399" s="62"/>
      <c r="T399" s="63"/>
      <c r="U399" s="62"/>
      <c r="V399" s="63"/>
      <c r="W399" s="62"/>
      <c r="X399" s="117"/>
      <c r="Y399" s="173"/>
      <c r="Z399" s="65"/>
    </row>
    <row r="400" ht="14.25" customHeight="1">
      <c r="B400" s="113"/>
      <c r="D400" s="559"/>
      <c r="E400" s="576" t="s">
        <v>1078</v>
      </c>
      <c r="L400" s="61"/>
      <c r="M400" s="62"/>
      <c r="N400" s="241">
        <v>0.0</v>
      </c>
      <c r="O400" s="567">
        <v>0.0</v>
      </c>
      <c r="P400" s="241">
        <v>0.0</v>
      </c>
      <c r="Q400" s="241">
        <v>0.0</v>
      </c>
      <c r="R400" s="241"/>
      <c r="S400" s="567">
        <v>0.0096</v>
      </c>
      <c r="T400" s="241">
        <v>0.0095</v>
      </c>
      <c r="U400" s="567">
        <v>0.0887</v>
      </c>
      <c r="V400" s="241">
        <v>0.0398</v>
      </c>
      <c r="W400" s="62"/>
      <c r="X400" s="117"/>
      <c r="Y400" s="173"/>
      <c r="Z400" s="65"/>
    </row>
    <row r="401" ht="14.25" customHeight="1">
      <c r="B401" s="113"/>
      <c r="D401" s="559"/>
      <c r="E401" s="565"/>
      <c r="L401" s="61"/>
      <c r="M401" s="62"/>
      <c r="N401" s="241"/>
      <c r="O401" s="567"/>
      <c r="P401" s="241"/>
      <c r="Q401" s="567"/>
      <c r="R401" s="241"/>
      <c r="S401" s="567"/>
      <c r="T401" s="241"/>
      <c r="U401" s="567"/>
      <c r="V401" s="241"/>
      <c r="W401" s="62"/>
      <c r="X401" s="117"/>
      <c r="Y401" s="173"/>
      <c r="Z401" s="65"/>
    </row>
    <row r="402" ht="14.25" customHeight="1">
      <c r="B402" s="113"/>
      <c r="D402" s="559"/>
      <c r="E402" s="559" t="s">
        <v>1049</v>
      </c>
      <c r="L402" s="61"/>
      <c r="M402" s="62"/>
      <c r="N402" s="241"/>
      <c r="O402" s="567"/>
      <c r="P402" s="241"/>
      <c r="Q402" s="567"/>
      <c r="R402" s="241"/>
      <c r="S402" s="567"/>
      <c r="T402" s="241"/>
      <c r="U402" s="567"/>
      <c r="V402" s="241"/>
      <c r="W402" s="62"/>
      <c r="X402" s="117"/>
      <c r="Y402" s="173"/>
      <c r="Z402" s="65"/>
    </row>
    <row r="403" ht="14.25" customHeight="1">
      <c r="B403" s="113"/>
      <c r="D403" s="559"/>
      <c r="E403" s="564" t="s">
        <v>1079</v>
      </c>
      <c r="L403" s="61"/>
      <c r="M403" s="62"/>
      <c r="N403" s="241">
        <v>1.0</v>
      </c>
      <c r="O403" s="567">
        <v>1.0</v>
      </c>
      <c r="P403" s="241">
        <v>1.0</v>
      </c>
      <c r="Q403" s="567">
        <v>1.0</v>
      </c>
      <c r="R403" s="241"/>
      <c r="S403" s="567">
        <v>0.96</v>
      </c>
      <c r="T403" s="241"/>
      <c r="U403" s="567">
        <v>1.0</v>
      </c>
      <c r="V403" s="241">
        <v>0.9632</v>
      </c>
      <c r="W403" s="62"/>
      <c r="X403" s="117"/>
      <c r="Y403" s="173"/>
      <c r="Z403" s="65"/>
    </row>
    <row r="404" ht="14.25" customHeight="1">
      <c r="B404" s="113"/>
      <c r="D404" s="559"/>
      <c r="E404" s="568"/>
      <c r="L404" s="61"/>
      <c r="M404" s="62"/>
      <c r="N404" s="241"/>
      <c r="O404" s="567"/>
      <c r="P404" s="241"/>
      <c r="Q404" s="567"/>
      <c r="R404" s="241"/>
      <c r="S404" s="567"/>
      <c r="T404" s="241"/>
      <c r="U404" s="567"/>
      <c r="V404" s="241"/>
      <c r="W404" s="62"/>
      <c r="X404" s="117"/>
      <c r="Y404" s="173"/>
      <c r="Z404" s="65"/>
    </row>
    <row r="405" ht="14.25" customHeight="1">
      <c r="B405" s="113"/>
      <c r="D405" s="560" t="s">
        <v>1080</v>
      </c>
      <c r="E405" s="561"/>
      <c r="L405" s="61"/>
      <c r="M405" s="62"/>
      <c r="N405" s="241"/>
      <c r="O405" s="567"/>
      <c r="P405" s="241"/>
      <c r="Q405" s="567"/>
      <c r="R405" s="241"/>
      <c r="S405" s="567"/>
      <c r="T405" s="241"/>
      <c r="U405" s="567"/>
      <c r="V405" s="241"/>
      <c r="W405" s="62"/>
      <c r="X405" s="117"/>
      <c r="Y405" s="173"/>
      <c r="Z405" s="65"/>
    </row>
    <row r="406" ht="14.25" customHeight="1">
      <c r="B406" s="113"/>
      <c r="D406" s="559"/>
      <c r="E406" s="559" t="s">
        <v>1043</v>
      </c>
      <c r="L406" s="61"/>
      <c r="M406" s="62"/>
      <c r="N406" s="63"/>
      <c r="O406" s="62"/>
      <c r="P406" s="63"/>
      <c r="Q406" s="62"/>
      <c r="R406" s="63"/>
      <c r="S406" s="62"/>
      <c r="T406" s="63"/>
      <c r="U406" s="62"/>
      <c r="V406" s="63"/>
      <c r="W406" s="62"/>
      <c r="X406" s="117"/>
      <c r="Y406" s="173"/>
      <c r="Z406" s="65"/>
    </row>
    <row r="407" ht="14.25" customHeight="1">
      <c r="B407" s="113"/>
      <c r="D407" s="559"/>
      <c r="E407" s="564" t="s">
        <v>1081</v>
      </c>
      <c r="L407" s="61"/>
      <c r="M407" s="62"/>
      <c r="N407" s="63"/>
      <c r="O407" s="62"/>
      <c r="P407" s="63"/>
      <c r="Q407" s="62"/>
      <c r="R407" s="63"/>
      <c r="S407" s="62"/>
      <c r="T407" s="63"/>
      <c r="U407" s="62"/>
      <c r="V407" s="63">
        <v>69693.0</v>
      </c>
      <c r="W407" s="62"/>
      <c r="X407" s="117"/>
      <c r="Y407" s="173"/>
      <c r="Z407" s="65"/>
    </row>
    <row r="408" ht="14.25" hidden="1" customHeight="1">
      <c r="B408" s="113"/>
      <c r="D408" s="559"/>
      <c r="E408" s="564" t="s">
        <v>1082</v>
      </c>
      <c r="L408" s="61"/>
      <c r="M408" s="62"/>
      <c r="N408" s="63"/>
      <c r="O408" s="62"/>
      <c r="P408" s="63"/>
      <c r="Q408" s="62"/>
      <c r="R408" s="63"/>
      <c r="S408" s="62"/>
      <c r="T408" s="63"/>
      <c r="U408" s="62"/>
      <c r="V408" s="63"/>
      <c r="W408" s="62"/>
      <c r="X408" s="117"/>
      <c r="Y408" s="173"/>
      <c r="Z408" s="65"/>
    </row>
    <row r="409" ht="14.25" hidden="1" customHeight="1">
      <c r="B409" s="113"/>
      <c r="D409" s="559"/>
      <c r="E409" s="564" t="s">
        <v>1083</v>
      </c>
      <c r="L409" s="61"/>
      <c r="M409" s="62"/>
      <c r="N409" s="63"/>
      <c r="O409" s="62"/>
      <c r="P409" s="63"/>
      <c r="Q409" s="62"/>
      <c r="R409" s="63"/>
      <c r="S409" s="62"/>
      <c r="T409" s="63"/>
      <c r="U409" s="62"/>
      <c r="V409" s="63"/>
      <c r="W409" s="62"/>
      <c r="X409" s="117"/>
      <c r="Y409" s="173"/>
      <c r="Z409" s="65"/>
    </row>
    <row r="410" ht="14.25" customHeight="1">
      <c r="B410" s="113"/>
      <c r="D410" s="559"/>
      <c r="E410" s="568"/>
      <c r="L410" s="61"/>
      <c r="M410" s="62"/>
      <c r="N410" s="63"/>
      <c r="O410" s="62"/>
      <c r="P410" s="63"/>
      <c r="Q410" s="62"/>
      <c r="R410" s="63"/>
      <c r="S410" s="62"/>
      <c r="T410" s="63"/>
      <c r="U410" s="62"/>
      <c r="V410" s="63"/>
      <c r="W410" s="62"/>
      <c r="X410" s="117"/>
      <c r="Y410" s="173"/>
      <c r="Z410" s="65"/>
    </row>
    <row r="411" ht="14.25" customHeight="1">
      <c r="B411" s="113"/>
      <c r="D411" s="560" t="s">
        <v>1084</v>
      </c>
      <c r="E411" s="561"/>
      <c r="L411" s="61"/>
      <c r="M411" s="62"/>
      <c r="N411" s="63"/>
      <c r="O411" s="62"/>
      <c r="P411" s="63"/>
      <c r="Q411" s="62"/>
      <c r="R411" s="63"/>
      <c r="S411" s="62"/>
      <c r="T411" s="63"/>
      <c r="U411" s="62"/>
      <c r="V411" s="63"/>
      <c r="W411" s="62"/>
      <c r="X411" s="117"/>
      <c r="Y411" s="173"/>
      <c r="Z411" s="65"/>
    </row>
    <row r="412" ht="14.25" customHeight="1">
      <c r="B412" s="113"/>
      <c r="D412" s="574"/>
      <c r="E412" s="573" t="s">
        <v>1043</v>
      </c>
      <c r="L412" s="61"/>
      <c r="M412" s="62"/>
      <c r="N412" s="63"/>
      <c r="O412" s="62"/>
      <c r="P412" s="63"/>
      <c r="Q412" s="62"/>
      <c r="R412" s="63"/>
      <c r="S412" s="62"/>
      <c r="T412" s="63"/>
      <c r="U412" s="62"/>
      <c r="V412" s="63"/>
      <c r="W412" s="62"/>
      <c r="X412" s="117"/>
      <c r="Y412" s="173"/>
      <c r="Z412" s="65"/>
    </row>
    <row r="413" ht="14.25" customHeight="1">
      <c r="B413" s="113"/>
      <c r="D413" s="574"/>
      <c r="E413" s="564" t="s">
        <v>1085</v>
      </c>
      <c r="L413" s="61"/>
      <c r="M413" s="62"/>
      <c r="N413" s="63"/>
      <c r="O413" s="62"/>
      <c r="P413" s="63"/>
      <c r="Q413" s="62">
        <v>11763.0</v>
      </c>
      <c r="R413" s="63"/>
      <c r="S413" s="62"/>
      <c r="T413" s="63"/>
      <c r="U413" s="62"/>
      <c r="V413" s="63">
        <v>19750.0</v>
      </c>
      <c r="W413" s="62"/>
      <c r="X413" s="117"/>
      <c r="Y413" s="173"/>
      <c r="Z413" s="65"/>
    </row>
    <row r="414" ht="14.25" customHeight="1">
      <c r="B414" s="113"/>
      <c r="D414" s="574"/>
      <c r="E414" s="565"/>
      <c r="L414" s="61"/>
      <c r="M414" s="62"/>
      <c r="N414" s="63"/>
      <c r="O414" s="62"/>
      <c r="P414" s="63"/>
      <c r="Q414" s="62"/>
      <c r="R414" s="63"/>
      <c r="S414" s="62"/>
      <c r="T414" s="63"/>
      <c r="U414" s="62"/>
      <c r="V414" s="63"/>
      <c r="W414" s="62"/>
      <c r="X414" s="117"/>
      <c r="Y414" s="173"/>
      <c r="Z414" s="65"/>
    </row>
    <row r="415" ht="14.25" customHeight="1">
      <c r="B415" s="113"/>
      <c r="D415" s="574"/>
      <c r="E415" s="573" t="s">
        <v>1046</v>
      </c>
      <c r="L415" s="61"/>
      <c r="M415" s="62"/>
      <c r="N415" s="63"/>
      <c r="O415" s="62"/>
      <c r="P415" s="63"/>
      <c r="Q415" s="62"/>
      <c r="R415" s="63"/>
      <c r="S415" s="62"/>
      <c r="T415" s="63"/>
      <c r="U415" s="62"/>
      <c r="V415" s="63"/>
      <c r="W415" s="62"/>
      <c r="X415" s="117"/>
      <c r="Y415" s="173"/>
      <c r="Z415" s="65"/>
    </row>
    <row r="416" ht="14.25" customHeight="1">
      <c r="B416" s="113"/>
      <c r="D416" s="574"/>
      <c r="E416" s="576" t="s">
        <v>1078</v>
      </c>
      <c r="L416" s="61"/>
      <c r="M416" s="62"/>
      <c r="N416" s="241"/>
      <c r="O416" s="567"/>
      <c r="P416" s="241"/>
      <c r="Q416" s="567"/>
      <c r="R416" s="241"/>
      <c r="S416" s="567"/>
      <c r="T416" s="241"/>
      <c r="U416" s="567"/>
      <c r="V416" s="241">
        <v>0.0</v>
      </c>
      <c r="W416" s="62"/>
      <c r="X416" s="117"/>
      <c r="Y416" s="173"/>
      <c r="Z416" s="65"/>
    </row>
    <row r="417" ht="14.25" customHeight="1">
      <c r="B417" s="113"/>
      <c r="D417" s="574"/>
      <c r="E417" s="582"/>
      <c r="L417" s="61"/>
      <c r="M417" s="62"/>
      <c r="N417" s="241"/>
      <c r="O417" s="567"/>
      <c r="P417" s="241"/>
      <c r="Q417" s="567"/>
      <c r="R417" s="241"/>
      <c r="S417" s="567"/>
      <c r="T417" s="241"/>
      <c r="U417" s="567"/>
      <c r="V417" s="241"/>
      <c r="W417" s="62"/>
      <c r="X417" s="117"/>
      <c r="Y417" s="173"/>
      <c r="Z417" s="65"/>
    </row>
    <row r="418" ht="14.25" customHeight="1">
      <c r="B418" s="113"/>
      <c r="D418" s="574"/>
      <c r="E418" s="573" t="s">
        <v>1049</v>
      </c>
      <c r="L418" s="61"/>
      <c r="M418" s="62"/>
      <c r="N418" s="241"/>
      <c r="O418" s="567"/>
      <c r="P418" s="241"/>
      <c r="Q418" s="567"/>
      <c r="R418" s="241"/>
      <c r="S418" s="567"/>
      <c r="T418" s="241"/>
      <c r="U418" s="567"/>
      <c r="V418" s="241"/>
      <c r="W418" s="62"/>
      <c r="X418" s="117"/>
      <c r="Y418" s="173"/>
      <c r="Z418" s="65"/>
    </row>
    <row r="419" ht="14.25" customHeight="1">
      <c r="B419" s="113"/>
      <c r="D419" s="574"/>
      <c r="E419" s="576" t="s">
        <v>1086</v>
      </c>
      <c r="L419" s="61"/>
      <c r="M419" s="62"/>
      <c r="N419" s="241"/>
      <c r="O419" s="567"/>
      <c r="P419" s="241"/>
      <c r="Q419" s="567"/>
      <c r="R419" s="241"/>
      <c r="S419" s="567"/>
      <c r="T419" s="241"/>
      <c r="U419" s="567"/>
      <c r="V419" s="241"/>
      <c r="W419" s="62"/>
      <c r="X419" s="117"/>
      <c r="Y419" s="173"/>
      <c r="Z419" s="65"/>
    </row>
    <row r="420" ht="14.25" customHeight="1">
      <c r="B420" s="113"/>
      <c r="D420" s="574"/>
      <c r="E420" s="565"/>
      <c r="L420" s="61"/>
      <c r="M420" s="62"/>
      <c r="N420" s="241"/>
      <c r="O420" s="567"/>
      <c r="P420" s="241"/>
      <c r="Q420" s="567"/>
      <c r="R420" s="241"/>
      <c r="S420" s="567"/>
      <c r="T420" s="241"/>
      <c r="U420" s="567"/>
      <c r="V420" s="241"/>
      <c r="W420" s="62"/>
      <c r="X420" s="117"/>
      <c r="Y420" s="173"/>
      <c r="Z420" s="65"/>
    </row>
    <row r="421" ht="14.25" customHeight="1">
      <c r="B421" s="113"/>
      <c r="D421" s="560" t="s">
        <v>1087</v>
      </c>
      <c r="E421" s="561"/>
      <c r="L421" s="61"/>
      <c r="M421" s="62"/>
      <c r="N421" s="63"/>
      <c r="O421" s="62"/>
      <c r="P421" s="63"/>
      <c r="Q421" s="62"/>
      <c r="R421" s="63"/>
      <c r="S421" s="62"/>
      <c r="T421" s="63"/>
      <c r="U421" s="62"/>
      <c r="V421" s="63"/>
      <c r="W421" s="62"/>
      <c r="X421" s="117"/>
      <c r="Y421" s="173"/>
      <c r="Z421" s="65"/>
    </row>
    <row r="422" ht="14.25" customHeight="1">
      <c r="B422" s="113"/>
      <c r="D422" s="574"/>
      <c r="E422" s="573" t="s">
        <v>1043</v>
      </c>
      <c r="L422" s="61"/>
      <c r="M422" s="62"/>
      <c r="N422" s="63"/>
      <c r="O422" s="62"/>
      <c r="P422" s="63"/>
      <c r="Q422" s="62"/>
      <c r="R422" s="63"/>
      <c r="S422" s="62"/>
      <c r="T422" s="63"/>
      <c r="U422" s="62"/>
      <c r="V422" s="63"/>
      <c r="W422" s="62"/>
      <c r="X422" s="117"/>
      <c r="Y422" s="173"/>
      <c r="Z422" s="65"/>
    </row>
    <row r="423" ht="14.25" customHeight="1">
      <c r="B423" s="113"/>
      <c r="D423" s="575"/>
      <c r="E423" s="576" t="s">
        <v>1088</v>
      </c>
      <c r="L423" s="61"/>
      <c r="M423" s="62"/>
      <c r="N423" s="63">
        <v>7315.0</v>
      </c>
      <c r="O423" s="62">
        <v>7315.0</v>
      </c>
      <c r="P423" s="63">
        <v>11028.0</v>
      </c>
      <c r="Q423" s="62">
        <v>5851.0</v>
      </c>
      <c r="R423" s="63"/>
      <c r="S423" s="62">
        <v>3201.0</v>
      </c>
      <c r="T423" s="63">
        <v>2792.0</v>
      </c>
      <c r="U423" s="62">
        <v>5488.0</v>
      </c>
      <c r="V423" s="63">
        <v>20327.0</v>
      </c>
      <c r="W423" s="62"/>
      <c r="X423" s="117"/>
      <c r="Y423" s="173"/>
      <c r="Z423" s="65"/>
    </row>
    <row r="424" ht="14.25" customHeight="1">
      <c r="B424" s="113"/>
      <c r="D424" s="575"/>
      <c r="E424" s="576" t="s">
        <v>1089</v>
      </c>
      <c r="L424" s="61"/>
      <c r="M424" s="62"/>
      <c r="N424" s="63">
        <v>75.0</v>
      </c>
      <c r="O424" s="62">
        <v>75.0</v>
      </c>
      <c r="P424" s="63">
        <v>125.0</v>
      </c>
      <c r="Q424" s="62">
        <v>125.0</v>
      </c>
      <c r="R424" s="63"/>
      <c r="S424" s="62">
        <v>58.0</v>
      </c>
      <c r="T424" s="63">
        <v>29.0</v>
      </c>
      <c r="U424" s="62">
        <v>123.0</v>
      </c>
      <c r="V424" s="63">
        <v>606.0</v>
      </c>
      <c r="W424" s="62"/>
      <c r="X424" s="117"/>
      <c r="Y424" s="173"/>
      <c r="Z424" s="65"/>
    </row>
    <row r="425" ht="14.25" customHeight="1">
      <c r="B425" s="113"/>
      <c r="D425" s="575"/>
      <c r="E425" s="582"/>
      <c r="L425" s="61"/>
      <c r="M425" s="62"/>
      <c r="N425" s="63"/>
      <c r="O425" s="62"/>
      <c r="P425" s="63"/>
      <c r="Q425" s="62"/>
      <c r="R425" s="63"/>
      <c r="S425" s="62"/>
      <c r="T425" s="63"/>
      <c r="U425" s="62"/>
      <c r="V425" s="63"/>
      <c r="W425" s="62"/>
      <c r="X425" s="117"/>
      <c r="Y425" s="173"/>
      <c r="Z425" s="65"/>
    </row>
    <row r="426" ht="14.25" customHeight="1">
      <c r="B426" s="113"/>
      <c r="D426" s="574"/>
      <c r="E426" s="573" t="s">
        <v>1046</v>
      </c>
      <c r="L426" s="61"/>
      <c r="M426" s="62"/>
      <c r="N426" s="63"/>
      <c r="O426" s="62"/>
      <c r="P426" s="63"/>
      <c r="Q426" s="62"/>
      <c r="R426" s="63"/>
      <c r="S426" s="62"/>
      <c r="T426" s="63"/>
      <c r="U426" s="62"/>
      <c r="V426" s="63"/>
      <c r="W426" s="62"/>
      <c r="X426" s="117"/>
      <c r="Y426" s="173"/>
      <c r="Z426" s="65"/>
    </row>
    <row r="427" ht="14.25" customHeight="1">
      <c r="B427" s="113"/>
      <c r="D427" s="582"/>
      <c r="E427" s="583" t="s">
        <v>1090</v>
      </c>
      <c r="L427" s="61"/>
      <c r="M427" s="62"/>
      <c r="N427" s="241">
        <v>0.0</v>
      </c>
      <c r="O427" s="567">
        <v>0.0</v>
      </c>
      <c r="P427" s="241">
        <v>0.0</v>
      </c>
      <c r="Q427" s="567">
        <v>0.0</v>
      </c>
      <c r="R427" s="241"/>
      <c r="S427" s="567">
        <v>0.0</v>
      </c>
      <c r="T427" s="241">
        <v>0.0</v>
      </c>
      <c r="U427" s="567">
        <v>0.0</v>
      </c>
      <c r="V427" s="241">
        <v>0.0012</v>
      </c>
      <c r="W427" s="62"/>
      <c r="X427" s="117"/>
      <c r="Y427" s="173"/>
      <c r="Z427" s="65"/>
    </row>
    <row r="428" ht="14.25" customHeight="1">
      <c r="B428" s="113"/>
      <c r="D428" s="582"/>
      <c r="E428" s="583" t="s">
        <v>1091</v>
      </c>
      <c r="L428" s="61"/>
      <c r="M428" s="62"/>
      <c r="N428" s="241">
        <v>0.0</v>
      </c>
      <c r="O428" s="567">
        <v>0.0</v>
      </c>
      <c r="P428" s="241">
        <v>0.0</v>
      </c>
      <c r="Q428" s="567">
        <v>0.0</v>
      </c>
      <c r="R428" s="241"/>
      <c r="S428" s="567">
        <v>0.0</v>
      </c>
      <c r="T428" s="241">
        <v>0.0</v>
      </c>
      <c r="U428" s="567">
        <v>0.0</v>
      </c>
      <c r="V428" s="241">
        <v>0.0</v>
      </c>
      <c r="W428" s="62"/>
      <c r="X428" s="117"/>
      <c r="Y428" s="173"/>
      <c r="Z428" s="65"/>
    </row>
    <row r="429" ht="14.25" customHeight="1">
      <c r="B429" s="113"/>
      <c r="D429" s="574"/>
      <c r="E429" s="576" t="s">
        <v>1092</v>
      </c>
      <c r="L429" s="61"/>
      <c r="M429" s="62"/>
      <c r="N429" s="241">
        <v>1.0</v>
      </c>
      <c r="O429" s="567">
        <v>1.0</v>
      </c>
      <c r="P429" s="241">
        <v>1.0</v>
      </c>
      <c r="Q429" s="567">
        <v>1.0</v>
      </c>
      <c r="R429" s="241"/>
      <c r="S429" s="567">
        <v>1.0</v>
      </c>
      <c r="T429" s="241">
        <v>1.0</v>
      </c>
      <c r="U429" s="567">
        <v>1.0</v>
      </c>
      <c r="V429" s="241">
        <v>1.0</v>
      </c>
      <c r="W429" s="62"/>
      <c r="X429" s="117"/>
      <c r="Y429" s="173"/>
      <c r="Z429" s="65"/>
    </row>
    <row r="430" ht="14.25" customHeight="1">
      <c r="B430" s="113"/>
      <c r="D430" s="575"/>
      <c r="E430" s="576" t="s">
        <v>1093</v>
      </c>
      <c r="L430" s="61"/>
      <c r="M430" s="62"/>
      <c r="N430" s="241">
        <v>0.0</v>
      </c>
      <c r="O430" s="567">
        <v>0.0</v>
      </c>
      <c r="P430" s="241">
        <v>1.0</v>
      </c>
      <c r="Q430" s="567">
        <v>1.0</v>
      </c>
      <c r="R430" s="241"/>
      <c r="S430" s="567">
        <v>0.01</v>
      </c>
      <c r="T430" s="241">
        <v>0.14</v>
      </c>
      <c r="U430" s="567">
        <v>1.0</v>
      </c>
      <c r="V430" s="241">
        <v>1.0</v>
      </c>
      <c r="W430" s="62"/>
      <c r="X430" s="117"/>
      <c r="Y430" s="173"/>
      <c r="Z430" s="65"/>
    </row>
    <row r="431" ht="14.25" customHeight="1">
      <c r="B431" s="113"/>
      <c r="D431" s="575"/>
      <c r="E431" s="582"/>
      <c r="L431" s="61"/>
      <c r="M431" s="62"/>
      <c r="N431" s="241"/>
      <c r="O431" s="567"/>
      <c r="P431" s="241"/>
      <c r="Q431" s="567"/>
      <c r="R431" s="241"/>
      <c r="S431" s="567"/>
      <c r="T431" s="241"/>
      <c r="U431" s="567"/>
      <c r="V431" s="241"/>
      <c r="W431" s="62"/>
      <c r="X431" s="117"/>
      <c r="Y431" s="173"/>
      <c r="Z431" s="65"/>
    </row>
    <row r="432" ht="14.25" customHeight="1">
      <c r="B432" s="113"/>
      <c r="D432" s="574"/>
      <c r="E432" s="573" t="s">
        <v>1049</v>
      </c>
      <c r="L432" s="61"/>
      <c r="M432" s="62"/>
      <c r="N432" s="241"/>
      <c r="O432" s="567"/>
      <c r="P432" s="241"/>
      <c r="Q432" s="567"/>
      <c r="R432" s="241"/>
      <c r="S432" s="567"/>
      <c r="T432" s="241"/>
      <c r="U432" s="567"/>
      <c r="V432" s="241"/>
      <c r="W432" s="62"/>
      <c r="X432" s="117"/>
      <c r="Y432" s="173"/>
      <c r="Z432" s="65"/>
    </row>
    <row r="433" ht="14.25" customHeight="1">
      <c r="B433" s="113"/>
      <c r="D433" s="582"/>
      <c r="E433" s="583" t="s">
        <v>1094</v>
      </c>
      <c r="L433" s="61"/>
      <c r="M433" s="62"/>
      <c r="N433" s="241">
        <v>1.0</v>
      </c>
      <c r="O433" s="567">
        <v>1.0</v>
      </c>
      <c r="P433" s="241">
        <v>1.0</v>
      </c>
      <c r="Q433" s="567">
        <v>1.0</v>
      </c>
      <c r="R433" s="241"/>
      <c r="S433" s="241">
        <v>1.0</v>
      </c>
      <c r="T433" s="567">
        <v>1.0</v>
      </c>
      <c r="U433" s="241">
        <v>1.0</v>
      </c>
      <c r="V433" s="567">
        <v>1.0</v>
      </c>
      <c r="W433" s="62"/>
      <c r="X433" s="117"/>
      <c r="Y433" s="173"/>
      <c r="Z433" s="65"/>
    </row>
    <row r="434" ht="14.25" customHeight="1">
      <c r="B434" s="113"/>
      <c r="D434" s="574"/>
      <c r="E434" s="573"/>
      <c r="L434" s="61"/>
      <c r="M434" s="62"/>
      <c r="N434" s="241"/>
      <c r="O434" s="567"/>
      <c r="P434" s="241"/>
      <c r="Q434" s="567"/>
      <c r="R434" s="241"/>
      <c r="S434" s="567"/>
      <c r="T434" s="241"/>
      <c r="U434" s="567"/>
      <c r="V434" s="241"/>
      <c r="W434" s="62"/>
      <c r="X434" s="117"/>
      <c r="Y434" s="173"/>
      <c r="Z434" s="65"/>
    </row>
    <row r="435" ht="14.25" customHeight="1">
      <c r="B435" s="113"/>
      <c r="D435" s="560" t="s">
        <v>1095</v>
      </c>
      <c r="E435" s="561"/>
      <c r="L435" s="61"/>
      <c r="M435" s="62"/>
      <c r="N435" s="63"/>
      <c r="O435" s="62"/>
      <c r="P435" s="63"/>
      <c r="Q435" s="62"/>
      <c r="R435" s="63"/>
      <c r="S435" s="62"/>
      <c r="T435" s="63"/>
      <c r="U435" s="62"/>
      <c r="V435" s="63"/>
      <c r="W435" s="62"/>
      <c r="X435" s="117"/>
      <c r="Y435" s="173"/>
      <c r="Z435" s="65"/>
    </row>
    <row r="436" ht="14.25" customHeight="1">
      <c r="B436" s="113"/>
      <c r="D436" s="574"/>
      <c r="E436" s="573" t="s">
        <v>1043</v>
      </c>
      <c r="L436" s="61"/>
      <c r="M436" s="62"/>
      <c r="N436" s="63"/>
      <c r="O436" s="62"/>
      <c r="P436" s="63"/>
      <c r="Q436" s="62"/>
      <c r="R436" s="63"/>
      <c r="S436" s="62"/>
      <c r="T436" s="63"/>
      <c r="U436" s="62"/>
      <c r="V436" s="63"/>
      <c r="W436" s="62"/>
      <c r="X436" s="117"/>
      <c r="Y436" s="173"/>
      <c r="Z436" s="65"/>
    </row>
    <row r="437" ht="14.25" customHeight="1">
      <c r="B437" s="113"/>
      <c r="D437" s="574"/>
      <c r="E437" s="564" t="s">
        <v>1219</v>
      </c>
      <c r="L437" s="61"/>
      <c r="M437" s="62"/>
      <c r="N437" s="63"/>
      <c r="O437" s="62"/>
      <c r="P437" s="63"/>
      <c r="Q437" s="62"/>
      <c r="R437" s="63"/>
      <c r="S437" s="62">
        <v>73.0</v>
      </c>
      <c r="T437" s="63">
        <v>39.0</v>
      </c>
      <c r="U437" s="62">
        <v>95.0</v>
      </c>
      <c r="V437" s="63"/>
      <c r="W437" s="62"/>
      <c r="X437" s="117"/>
      <c r="Y437" s="173"/>
      <c r="Z437" s="65"/>
    </row>
    <row r="438" ht="14.25" customHeight="1">
      <c r="B438" s="113"/>
      <c r="D438" s="574"/>
      <c r="E438" s="564" t="s">
        <v>1220</v>
      </c>
      <c r="L438" s="61"/>
      <c r="M438" s="62"/>
      <c r="N438" s="63"/>
      <c r="O438" s="62"/>
      <c r="P438" s="63"/>
      <c r="Q438" s="62"/>
      <c r="R438" s="63"/>
      <c r="S438" s="62">
        <v>21130.0</v>
      </c>
      <c r="T438" s="63">
        <v>10140.0</v>
      </c>
      <c r="U438" s="62">
        <v>2435.0</v>
      </c>
      <c r="V438" s="63"/>
      <c r="W438" s="62"/>
      <c r="X438" s="117"/>
      <c r="Y438" s="173"/>
      <c r="Z438" s="65"/>
    </row>
    <row r="439" ht="14.25" customHeight="1">
      <c r="B439" s="113"/>
      <c r="D439" s="574"/>
      <c r="E439" s="565"/>
      <c r="L439" s="61"/>
      <c r="M439" s="62"/>
      <c r="N439" s="63"/>
      <c r="O439" s="62"/>
      <c r="P439" s="63"/>
      <c r="Q439" s="62"/>
      <c r="R439" s="63"/>
      <c r="S439" s="62"/>
      <c r="T439" s="63"/>
      <c r="U439" s="62"/>
      <c r="V439" s="63"/>
      <c r="W439" s="62"/>
      <c r="X439" s="117"/>
      <c r="Y439" s="173"/>
      <c r="Z439" s="65"/>
    </row>
    <row r="440" ht="14.25" customHeight="1">
      <c r="B440" s="113"/>
      <c r="D440" s="574"/>
      <c r="E440" s="565"/>
      <c r="L440" s="61"/>
      <c r="M440" s="62"/>
      <c r="N440" s="63"/>
      <c r="O440" s="62"/>
      <c r="P440" s="63"/>
      <c r="Q440" s="62"/>
      <c r="R440" s="63"/>
      <c r="S440" s="62"/>
      <c r="T440" s="63"/>
      <c r="U440" s="62"/>
      <c r="V440" s="63"/>
      <c r="W440" s="62"/>
      <c r="X440" s="117"/>
      <c r="Y440" s="173"/>
      <c r="Z440" s="65"/>
    </row>
    <row r="441" ht="14.25" customHeight="1">
      <c r="B441" s="113"/>
      <c r="D441" s="574"/>
      <c r="E441" s="565"/>
      <c r="L441" s="61"/>
      <c r="M441" s="62"/>
      <c r="N441" s="63"/>
      <c r="O441" s="62"/>
      <c r="P441" s="63"/>
      <c r="Q441" s="62"/>
      <c r="R441" s="63"/>
      <c r="S441" s="62"/>
      <c r="T441" s="63"/>
      <c r="U441" s="62"/>
      <c r="V441" s="63"/>
      <c r="W441" s="62"/>
      <c r="X441" s="117"/>
      <c r="Y441" s="173"/>
      <c r="Z441" s="65"/>
    </row>
    <row r="442" ht="14.25" customHeight="1">
      <c r="B442" s="113"/>
      <c r="D442" s="574"/>
      <c r="E442" s="565"/>
      <c r="L442" s="61"/>
      <c r="M442" s="62"/>
      <c r="N442" s="63"/>
      <c r="O442" s="62"/>
      <c r="P442" s="63"/>
      <c r="Q442" s="62"/>
      <c r="R442" s="63"/>
      <c r="S442" s="62"/>
      <c r="T442" s="63"/>
      <c r="U442" s="62"/>
      <c r="V442" s="63"/>
      <c r="W442" s="62"/>
      <c r="X442" s="117"/>
      <c r="Y442" s="173"/>
      <c r="Z442" s="65"/>
    </row>
    <row r="443" ht="14.25" customHeight="1">
      <c r="B443" s="113"/>
      <c r="D443" s="574"/>
      <c r="E443" s="573" t="s">
        <v>1049</v>
      </c>
      <c r="L443" s="61"/>
      <c r="M443" s="62"/>
      <c r="N443" s="63"/>
      <c r="O443" s="62"/>
      <c r="P443" s="63"/>
      <c r="Q443" s="62"/>
      <c r="R443" s="63"/>
      <c r="S443" s="62"/>
      <c r="T443" s="63"/>
      <c r="U443" s="62"/>
      <c r="V443" s="63"/>
      <c r="W443" s="62"/>
      <c r="X443" s="117"/>
      <c r="Y443" s="173"/>
      <c r="Z443" s="65"/>
    </row>
    <row r="444" ht="14.25" customHeight="1">
      <c r="B444" s="113"/>
      <c r="D444" s="585"/>
      <c r="E444" s="586" t="s">
        <v>1103</v>
      </c>
      <c r="L444" s="61"/>
      <c r="M444" s="62"/>
      <c r="N444" s="241"/>
      <c r="O444" s="567"/>
      <c r="P444" s="241"/>
      <c r="Q444" s="567"/>
      <c r="R444" s="241"/>
      <c r="S444" s="567"/>
      <c r="T444" s="241"/>
      <c r="U444" s="567"/>
      <c r="V444" s="241"/>
      <c r="W444" s="62"/>
      <c r="X444" s="117"/>
      <c r="Y444" s="173"/>
      <c r="Z444" s="65"/>
    </row>
    <row r="445" ht="14.25" customHeight="1">
      <c r="B445" s="113"/>
      <c r="D445" s="574"/>
      <c r="E445" s="565"/>
      <c r="L445" s="61"/>
      <c r="M445" s="62"/>
      <c r="N445" s="241"/>
      <c r="O445" s="567"/>
      <c r="P445" s="241"/>
      <c r="Q445" s="567"/>
      <c r="R445" s="241"/>
      <c r="S445" s="567"/>
      <c r="T445" s="241"/>
      <c r="U445" s="567"/>
      <c r="V445" s="241"/>
      <c r="W445" s="62"/>
      <c r="X445" s="117"/>
      <c r="Y445" s="173"/>
      <c r="Z445" s="65"/>
    </row>
    <row r="446" ht="14.25" customHeight="1">
      <c r="B446" s="113"/>
      <c r="L446" s="61"/>
      <c r="M446" s="62"/>
      <c r="N446" s="63"/>
      <c r="O446" s="62"/>
      <c r="P446" s="63"/>
      <c r="Q446" s="62"/>
      <c r="R446" s="63"/>
      <c r="S446" s="62"/>
      <c r="T446" s="63"/>
      <c r="U446" s="62"/>
      <c r="V446" s="63"/>
      <c r="W446" s="62"/>
      <c r="X446" s="117"/>
      <c r="Y446" s="173"/>
      <c r="Z446" s="65"/>
    </row>
    <row r="447" ht="14.25" customHeight="1">
      <c r="B447" s="113"/>
      <c r="L447" s="61"/>
      <c r="M447" s="62"/>
      <c r="N447" s="63"/>
      <c r="O447" s="62"/>
      <c r="P447" s="63"/>
      <c r="Q447" s="62"/>
      <c r="R447" s="63"/>
      <c r="S447" s="62"/>
      <c r="T447" s="63"/>
      <c r="U447" s="62"/>
      <c r="V447" s="63"/>
      <c r="W447" s="62"/>
      <c r="X447" s="117"/>
      <c r="Y447" s="173"/>
      <c r="Z447" s="65"/>
    </row>
    <row r="448" ht="14.25" customHeight="1">
      <c r="B448" s="113"/>
      <c r="D448" s="579" t="s">
        <v>1104</v>
      </c>
      <c r="L448" s="61"/>
      <c r="M448" s="62"/>
      <c r="N448" s="63"/>
      <c r="O448" s="62"/>
      <c r="P448" s="63"/>
      <c r="Q448" s="62"/>
      <c r="R448" s="63"/>
      <c r="S448" s="62"/>
      <c r="T448" s="63"/>
      <c r="U448" s="62"/>
      <c r="V448" s="63"/>
      <c r="W448" s="62"/>
      <c r="X448" s="117"/>
      <c r="Y448" s="173"/>
      <c r="Z448" s="65"/>
    </row>
    <row r="449" ht="14.25" customHeight="1">
      <c r="B449" s="113"/>
      <c r="L449" s="61"/>
      <c r="M449" s="62"/>
      <c r="N449" s="63"/>
      <c r="O449" s="62"/>
      <c r="P449" s="63"/>
      <c r="Q449" s="62"/>
      <c r="R449" s="63"/>
      <c r="S449" s="62"/>
      <c r="T449" s="63"/>
      <c r="U449" s="62"/>
      <c r="V449" s="63"/>
      <c r="W449" s="62"/>
      <c r="X449" s="117"/>
      <c r="Y449" s="173"/>
      <c r="Z449" s="65"/>
    </row>
    <row r="450" ht="14.25" customHeight="1">
      <c r="B450" s="113"/>
      <c r="D450" s="118" t="s">
        <v>1105</v>
      </c>
      <c r="L450" s="61"/>
      <c r="M450" s="62"/>
      <c r="N450" s="63"/>
      <c r="O450" s="62"/>
      <c r="P450" s="63"/>
      <c r="Q450" s="62"/>
      <c r="R450" s="63"/>
      <c r="S450" s="62"/>
      <c r="T450" s="63"/>
      <c r="U450" s="62"/>
      <c r="V450" s="63"/>
      <c r="W450" s="62">
        <v>89.0</v>
      </c>
      <c r="X450" s="117"/>
      <c r="Y450" s="173"/>
      <c r="Z450" s="65"/>
    </row>
    <row r="451" ht="14.25" customHeight="1">
      <c r="B451" s="113"/>
      <c r="D451" s="118" t="s">
        <v>471</v>
      </c>
      <c r="L451" s="61"/>
      <c r="M451" s="62"/>
      <c r="N451" s="63"/>
      <c r="O451" s="62"/>
      <c r="P451" s="63"/>
      <c r="Q451" s="62"/>
      <c r="R451" s="63"/>
      <c r="S451" s="62"/>
      <c r="T451" s="63"/>
      <c r="U451" s="62"/>
      <c r="V451" s="63"/>
      <c r="W451" s="62">
        <v>71.0</v>
      </c>
      <c r="X451" s="117"/>
      <c r="Y451" s="173"/>
      <c r="Z451" s="65"/>
    </row>
    <row r="452" ht="14.25" customHeight="1">
      <c r="B452" s="113"/>
      <c r="D452" s="118" t="s">
        <v>472</v>
      </c>
      <c r="L452" s="61"/>
      <c r="M452" s="62"/>
      <c r="N452" s="63"/>
      <c r="O452" s="62"/>
      <c r="P452" s="63"/>
      <c r="Q452" s="62"/>
      <c r="R452" s="63"/>
      <c r="S452" s="62"/>
      <c r="T452" s="63"/>
      <c r="U452" s="62"/>
      <c r="V452" s="63"/>
      <c r="W452" s="62">
        <v>88.0</v>
      </c>
      <c r="X452" s="117"/>
      <c r="Y452" s="173"/>
      <c r="Z452" s="65"/>
    </row>
    <row r="453" ht="14.25" customHeight="1">
      <c r="B453" s="113"/>
      <c r="D453" s="118" t="s">
        <v>1106</v>
      </c>
      <c r="L453" s="61"/>
      <c r="M453" s="62"/>
      <c r="N453" s="63"/>
      <c r="O453" s="62"/>
      <c r="P453" s="63"/>
      <c r="Q453" s="62"/>
      <c r="R453" s="63"/>
      <c r="S453" s="62"/>
      <c r="T453" s="63"/>
      <c r="U453" s="62"/>
      <c r="V453" s="63"/>
      <c r="W453" s="62">
        <v>47.0</v>
      </c>
      <c r="X453" s="117"/>
      <c r="Y453" s="173"/>
      <c r="Z453" s="65"/>
    </row>
    <row r="454" ht="14.25" customHeight="1">
      <c r="B454" s="113"/>
      <c r="L454" s="61"/>
      <c r="M454" s="62"/>
      <c r="N454" s="63"/>
      <c r="O454" s="62"/>
      <c r="P454" s="63"/>
      <c r="Q454" s="62"/>
      <c r="R454" s="63"/>
      <c r="S454" s="62"/>
      <c r="T454" s="63"/>
      <c r="U454" s="62"/>
      <c r="V454" s="63"/>
      <c r="W454" s="62"/>
      <c r="X454" s="117"/>
      <c r="Y454" s="173"/>
      <c r="Z454" s="65"/>
    </row>
    <row r="455" ht="14.25" customHeight="1">
      <c r="B455" s="60" t="s">
        <v>1107</v>
      </c>
      <c r="L455" s="61"/>
      <c r="M455" s="62"/>
      <c r="N455" s="63"/>
      <c r="O455" s="62"/>
      <c r="P455" s="63"/>
      <c r="Q455" s="62"/>
      <c r="R455" s="63"/>
      <c r="S455" s="62"/>
      <c r="T455" s="63"/>
      <c r="U455" s="62"/>
      <c r="V455" s="63"/>
      <c r="W455" s="62"/>
      <c r="X455" s="117"/>
      <c r="Y455" s="173"/>
      <c r="Z455" s="65"/>
    </row>
    <row r="456" ht="14.25" customHeight="1">
      <c r="B456" s="113"/>
      <c r="L456" s="61"/>
      <c r="M456" s="62"/>
      <c r="N456" s="63"/>
      <c r="O456" s="62"/>
      <c r="P456" s="63"/>
      <c r="Q456" s="62"/>
      <c r="R456" s="63"/>
      <c r="S456" s="62"/>
      <c r="T456" s="63"/>
      <c r="U456" s="62"/>
      <c r="V456" s="63"/>
      <c r="W456" s="62"/>
      <c r="X456" s="117"/>
      <c r="Y456" s="173"/>
      <c r="Z456" s="65"/>
    </row>
    <row r="457" ht="14.25" customHeight="1">
      <c r="B457" s="113"/>
      <c r="D457" s="588" t="s">
        <v>1108</v>
      </c>
      <c r="E457" s="589"/>
      <c r="L457" s="61"/>
      <c r="M457" s="62"/>
      <c r="N457" s="63"/>
      <c r="O457" s="62"/>
      <c r="P457" s="63"/>
      <c r="Q457" s="62"/>
      <c r="R457" s="63"/>
      <c r="S457" s="62"/>
      <c r="T457" s="63"/>
      <c r="U457" s="62"/>
      <c r="V457" s="63"/>
      <c r="W457" s="62"/>
      <c r="X457" s="117"/>
      <c r="Y457" s="173"/>
      <c r="Z457" s="65"/>
    </row>
    <row r="458" ht="14.25" customHeight="1">
      <c r="B458" s="113"/>
      <c r="D458" s="91" t="s">
        <v>1043</v>
      </c>
      <c r="E458" s="70" t="s">
        <v>1109</v>
      </c>
      <c r="L458" s="61"/>
      <c r="M458" s="62"/>
      <c r="N458" s="63"/>
      <c r="O458" s="62"/>
      <c r="P458" s="63"/>
      <c r="Q458" s="62"/>
      <c r="R458" s="63"/>
      <c r="S458" s="62"/>
      <c r="T458" s="63"/>
      <c r="U458" s="62"/>
      <c r="V458" s="63"/>
      <c r="W458" s="62"/>
      <c r="X458" s="117"/>
      <c r="Y458" s="173"/>
      <c r="Z458" s="65"/>
    </row>
    <row r="459" ht="14.25" customHeight="1">
      <c r="B459" s="113"/>
      <c r="D459" s="70"/>
      <c r="E459" s="91" t="s">
        <v>1110</v>
      </c>
      <c r="L459" s="61"/>
      <c r="M459" s="62"/>
      <c r="N459" s="63"/>
      <c r="O459" s="62"/>
      <c r="P459" s="63"/>
      <c r="Q459" s="62"/>
      <c r="R459" s="63"/>
      <c r="S459" s="62"/>
      <c r="T459" s="63"/>
      <c r="U459" s="62"/>
      <c r="V459" s="63"/>
      <c r="W459" s="62"/>
      <c r="X459" s="117"/>
      <c r="Y459" s="173"/>
      <c r="Z459" s="65"/>
    </row>
    <row r="460" ht="14.25" customHeight="1">
      <c r="B460" s="113"/>
      <c r="D460" s="70"/>
      <c r="E460" s="70" t="s">
        <v>1111</v>
      </c>
      <c r="L460" s="61"/>
      <c r="M460" s="62"/>
      <c r="N460" s="63"/>
      <c r="O460" s="62">
        <v>60.0</v>
      </c>
      <c r="P460" s="63">
        <v>173.0</v>
      </c>
      <c r="Q460" s="62">
        <v>140.0</v>
      </c>
      <c r="R460" s="63"/>
      <c r="S460" s="62"/>
      <c r="T460" s="63">
        <v>47.0</v>
      </c>
      <c r="U460" s="62">
        <v>170.0</v>
      </c>
      <c r="V460" s="63">
        <v>133.0</v>
      </c>
      <c r="W460" s="62"/>
      <c r="X460" s="117"/>
      <c r="Y460" s="173"/>
      <c r="Z460" s="65"/>
    </row>
    <row r="461" ht="14.25" customHeight="1">
      <c r="B461" s="113"/>
      <c r="D461" s="70"/>
      <c r="E461" s="70" t="s">
        <v>1112</v>
      </c>
      <c r="L461" s="61"/>
      <c r="M461" s="62"/>
      <c r="N461" s="63"/>
      <c r="O461" s="62"/>
      <c r="P461" s="63">
        <v>282.0</v>
      </c>
      <c r="Q461" s="62">
        <v>218.0</v>
      </c>
      <c r="R461" s="63"/>
      <c r="S461" s="62"/>
      <c r="T461" s="63"/>
      <c r="U461" s="62">
        <v>282.0</v>
      </c>
      <c r="V461" s="63">
        <v>215.0</v>
      </c>
      <c r="W461" s="62"/>
      <c r="X461" s="117"/>
      <c r="Y461" s="173"/>
      <c r="Z461" s="65"/>
    </row>
    <row r="462" ht="14.25" customHeight="1">
      <c r="B462" s="113"/>
      <c r="D462" s="70"/>
      <c r="E462" s="70" t="s">
        <v>1113</v>
      </c>
      <c r="L462" s="61"/>
      <c r="M462" s="62"/>
      <c r="N462" s="63">
        <v>815.0</v>
      </c>
      <c r="O462" s="62">
        <v>279.0</v>
      </c>
      <c r="P462" s="63">
        <v>31.0</v>
      </c>
      <c r="Q462" s="62">
        <v>22.0</v>
      </c>
      <c r="R462" s="63"/>
      <c r="S462" s="62">
        <v>777.0</v>
      </c>
      <c r="T462" s="63">
        <v>264.0</v>
      </c>
      <c r="U462" s="62">
        <v>31.0</v>
      </c>
      <c r="V462" s="63">
        <v>20.0</v>
      </c>
      <c r="W462" s="62"/>
      <c r="X462" s="117"/>
      <c r="Y462" s="173"/>
      <c r="Z462" s="65"/>
    </row>
    <row r="463" ht="14.25" customHeight="1">
      <c r="B463" s="113"/>
      <c r="D463" s="70"/>
      <c r="E463" s="70" t="s">
        <v>1221</v>
      </c>
      <c r="L463" s="61"/>
      <c r="M463" s="62"/>
      <c r="N463" s="63"/>
      <c r="O463" s="62">
        <v>93.0</v>
      </c>
      <c r="P463" s="63">
        <v>5462.0</v>
      </c>
      <c r="Q463" s="62"/>
      <c r="R463" s="63"/>
      <c r="S463" s="62"/>
      <c r="T463" s="63">
        <v>35.0</v>
      </c>
      <c r="U463" s="62">
        <v>5451.0</v>
      </c>
      <c r="V463" s="63"/>
      <c r="W463" s="62"/>
      <c r="X463" s="117"/>
      <c r="Y463" s="173"/>
      <c r="Z463" s="65"/>
    </row>
    <row r="464" ht="14.25" customHeight="1">
      <c r="B464" s="113"/>
      <c r="D464" s="70"/>
      <c r="E464" s="70" t="s">
        <v>1222</v>
      </c>
      <c r="L464" s="61"/>
      <c r="M464" s="62"/>
      <c r="N464" s="63"/>
      <c r="O464" s="62"/>
      <c r="P464" s="63"/>
      <c r="Q464" s="62">
        <v>15.0</v>
      </c>
      <c r="R464" s="63"/>
      <c r="S464" s="62"/>
      <c r="T464" s="63"/>
      <c r="U464" s="62"/>
      <c r="V464" s="63">
        <v>13.0</v>
      </c>
      <c r="W464" s="62"/>
      <c r="X464" s="117"/>
      <c r="Y464" s="173"/>
      <c r="Z464" s="65"/>
    </row>
    <row r="465" ht="14.25" customHeight="1">
      <c r="B465" s="113"/>
      <c r="D465" s="70"/>
      <c r="E465" s="70" t="s">
        <v>1223</v>
      </c>
      <c r="L465" s="61"/>
      <c r="M465" s="62"/>
      <c r="N465" s="63"/>
      <c r="O465" s="62"/>
      <c r="P465" s="63"/>
      <c r="Q465" s="62">
        <v>133.0</v>
      </c>
      <c r="R465" s="63"/>
      <c r="S465" s="62"/>
      <c r="T465" s="63"/>
      <c r="U465" s="62"/>
      <c r="V465" s="63">
        <v>133.0</v>
      </c>
      <c r="W465" s="62"/>
      <c r="X465" s="117"/>
      <c r="Y465" s="173"/>
      <c r="Z465" s="65"/>
    </row>
    <row r="466" ht="14.25" customHeight="1">
      <c r="B466" s="113"/>
      <c r="D466" s="185" t="s">
        <v>1046</v>
      </c>
      <c r="E466" s="97" t="s">
        <v>1116</v>
      </c>
      <c r="L466" s="61"/>
      <c r="M466" s="62"/>
      <c r="N466" s="63"/>
      <c r="O466" s="62"/>
      <c r="P466" s="63"/>
      <c r="Q466" s="62"/>
      <c r="R466" s="63"/>
      <c r="S466" s="62"/>
      <c r="T466" s="63"/>
      <c r="U466" s="62"/>
      <c r="V466" s="63"/>
      <c r="W466" s="62"/>
      <c r="X466" s="117"/>
      <c r="Y466" s="173"/>
      <c r="Z466" s="65"/>
    </row>
    <row r="467" ht="14.25" customHeight="1">
      <c r="B467" s="113"/>
      <c r="D467" s="70"/>
      <c r="E467" s="70" t="s">
        <v>1111</v>
      </c>
      <c r="L467" s="61"/>
      <c r="M467" s="62"/>
      <c r="N467" s="241"/>
      <c r="O467" s="567">
        <v>1.0</v>
      </c>
      <c r="P467" s="241">
        <v>1.0</v>
      </c>
      <c r="Q467" s="567">
        <v>1.0</v>
      </c>
      <c r="R467" s="241"/>
      <c r="S467" s="567"/>
      <c r="T467" s="241">
        <v>1.0</v>
      </c>
      <c r="U467" s="567">
        <v>1.0</v>
      </c>
      <c r="V467" s="241">
        <v>1.0</v>
      </c>
      <c r="W467" s="62"/>
      <c r="X467" s="117"/>
      <c r="Y467" s="173"/>
      <c r="Z467" s="65"/>
    </row>
    <row r="468" ht="14.25" customHeight="1">
      <c r="B468" s="113"/>
      <c r="D468" s="70"/>
      <c r="E468" s="70" t="s">
        <v>1112</v>
      </c>
      <c r="L468" s="61"/>
      <c r="M468" s="62"/>
      <c r="N468" s="241"/>
      <c r="O468" s="567"/>
      <c r="P468" s="241">
        <v>1.0</v>
      </c>
      <c r="Q468" s="567">
        <v>1.0</v>
      </c>
      <c r="R468" s="241"/>
      <c r="S468" s="567"/>
      <c r="T468" s="241"/>
      <c r="U468" s="567">
        <v>1.0</v>
      </c>
      <c r="V468" s="241">
        <v>1.0</v>
      </c>
      <c r="W468" s="62"/>
      <c r="X468" s="117"/>
      <c r="Y468" s="173"/>
      <c r="Z468" s="65"/>
    </row>
    <row r="469" ht="14.25" customHeight="1">
      <c r="B469" s="113"/>
      <c r="D469" s="70"/>
      <c r="E469" s="70" t="s">
        <v>1113</v>
      </c>
      <c r="L469" s="61"/>
      <c r="M469" s="62"/>
      <c r="N469" s="241">
        <v>0.9</v>
      </c>
      <c r="O469" s="567">
        <v>1.0</v>
      </c>
      <c r="P469" s="241">
        <v>1.0</v>
      </c>
      <c r="Q469" s="567">
        <v>1.0</v>
      </c>
      <c r="R469" s="241"/>
      <c r="S469" s="567">
        <v>0.923</v>
      </c>
      <c r="T469" s="241">
        <v>1.0</v>
      </c>
      <c r="U469" s="567">
        <v>1.0</v>
      </c>
      <c r="V469" s="241">
        <v>1.0</v>
      </c>
      <c r="W469" s="62"/>
      <c r="X469" s="117"/>
      <c r="Y469" s="173"/>
      <c r="Z469" s="65"/>
    </row>
    <row r="470" ht="14.25" customHeight="1">
      <c r="B470" s="113"/>
      <c r="D470" s="70"/>
      <c r="E470" s="70" t="s">
        <v>1221</v>
      </c>
      <c r="L470" s="61"/>
      <c r="M470" s="62"/>
      <c r="N470" s="241"/>
      <c r="O470" s="567"/>
      <c r="P470" s="241"/>
      <c r="Q470" s="567"/>
      <c r="R470" s="241"/>
      <c r="S470" s="567"/>
      <c r="T470" s="241"/>
      <c r="U470" s="567"/>
      <c r="V470" s="241"/>
      <c r="W470" s="62"/>
      <c r="X470" s="117"/>
      <c r="Y470" s="173"/>
      <c r="Z470" s="65"/>
    </row>
    <row r="471" ht="14.25" customHeight="1">
      <c r="B471" s="113"/>
      <c r="D471" s="70"/>
      <c r="E471" s="70" t="s">
        <v>1222</v>
      </c>
      <c r="L471" s="61"/>
      <c r="M471" s="62"/>
      <c r="N471" s="241"/>
      <c r="O471" s="567"/>
      <c r="P471" s="241"/>
      <c r="Q471" s="567">
        <v>1.0</v>
      </c>
      <c r="R471" s="241"/>
      <c r="S471" s="567"/>
      <c r="T471" s="241"/>
      <c r="U471" s="567"/>
      <c r="V471" s="241">
        <v>1.0</v>
      </c>
      <c r="W471" s="62"/>
      <c r="X471" s="117"/>
      <c r="Y471" s="173"/>
      <c r="Z471" s="65"/>
    </row>
    <row r="472" ht="14.25" customHeight="1">
      <c r="B472" s="113"/>
      <c r="D472" s="77"/>
      <c r="E472" s="70" t="s">
        <v>1223</v>
      </c>
      <c r="L472" s="61"/>
      <c r="M472" s="62"/>
      <c r="N472" s="241"/>
      <c r="O472" s="567"/>
      <c r="P472" s="241"/>
      <c r="Q472" s="567">
        <v>1.0</v>
      </c>
      <c r="R472" s="241"/>
      <c r="S472" s="567"/>
      <c r="T472" s="241"/>
      <c r="U472" s="567"/>
      <c r="V472" s="241">
        <v>1.0</v>
      </c>
      <c r="W472" s="62"/>
      <c r="X472" s="117"/>
      <c r="Y472" s="173"/>
      <c r="Z472" s="65"/>
    </row>
    <row r="473" ht="14.25" customHeight="1">
      <c r="B473" s="113"/>
      <c r="D473" s="231" t="s">
        <v>1049</v>
      </c>
      <c r="E473" s="97" t="s">
        <v>1117</v>
      </c>
      <c r="L473" s="61"/>
      <c r="M473" s="62"/>
      <c r="N473" s="241"/>
      <c r="O473" s="567"/>
      <c r="P473" s="241"/>
      <c r="Q473" s="567"/>
      <c r="R473" s="241"/>
      <c r="S473" s="567"/>
      <c r="T473" s="241"/>
      <c r="U473" s="567"/>
      <c r="V473" s="241"/>
      <c r="W473" s="62"/>
      <c r="X473" s="117"/>
      <c r="Y473" s="173"/>
      <c r="Z473" s="65"/>
    </row>
    <row r="474" ht="14.25" customHeight="1">
      <c r="B474" s="113"/>
      <c r="D474" s="70"/>
      <c r="E474" s="70" t="s">
        <v>1111</v>
      </c>
      <c r="L474" s="61"/>
      <c r="M474" s="62"/>
      <c r="N474" s="241"/>
      <c r="O474" s="567">
        <v>1.0</v>
      </c>
      <c r="P474" s="241">
        <v>1.0</v>
      </c>
      <c r="Q474" s="567">
        <v>1.0</v>
      </c>
      <c r="R474" s="241"/>
      <c r="S474" s="567"/>
      <c r="T474" s="241">
        <v>0.78</v>
      </c>
      <c r="U474" s="567">
        <v>1.0</v>
      </c>
      <c r="V474" s="241">
        <v>1.0</v>
      </c>
      <c r="W474" s="62"/>
      <c r="X474" s="117"/>
      <c r="Y474" s="173"/>
      <c r="Z474" s="65"/>
    </row>
    <row r="475" ht="14.25" customHeight="1">
      <c r="B475" s="113"/>
      <c r="D475" s="70"/>
      <c r="E475" s="70" t="s">
        <v>1112</v>
      </c>
      <c r="L475" s="61"/>
      <c r="M475" s="62"/>
      <c r="N475" s="241"/>
      <c r="O475" s="567"/>
      <c r="P475" s="241">
        <v>1.0</v>
      </c>
      <c r="Q475" s="567">
        <v>1.0</v>
      </c>
      <c r="R475" s="241"/>
      <c r="S475" s="567"/>
      <c r="T475" s="241"/>
      <c r="U475" s="567">
        <v>1.0</v>
      </c>
      <c r="V475" s="241">
        <v>1.0</v>
      </c>
      <c r="W475" s="62"/>
      <c r="X475" s="117"/>
      <c r="Y475" s="173"/>
      <c r="Z475" s="65"/>
    </row>
    <row r="476" ht="14.25" customHeight="1">
      <c r="B476" s="113"/>
      <c r="D476" s="70"/>
      <c r="E476" s="70" t="s">
        <v>1113</v>
      </c>
      <c r="L476" s="61"/>
      <c r="M476" s="62"/>
      <c r="N476" s="241">
        <v>1.0</v>
      </c>
      <c r="O476" s="567">
        <v>1.0</v>
      </c>
      <c r="P476" s="241">
        <v>1.0</v>
      </c>
      <c r="Q476" s="567">
        <v>1.0</v>
      </c>
      <c r="R476" s="241"/>
      <c r="S476" s="567">
        <v>1.0</v>
      </c>
      <c r="T476" s="241">
        <v>0.946236559139785</v>
      </c>
      <c r="U476" s="567">
        <v>1.0</v>
      </c>
      <c r="V476" s="241">
        <v>1.0</v>
      </c>
      <c r="W476" s="62"/>
      <c r="X476" s="117"/>
      <c r="Y476" s="173"/>
      <c r="Z476" s="65"/>
    </row>
    <row r="477" ht="14.25" customHeight="1">
      <c r="B477" s="113"/>
      <c r="D477" s="70"/>
      <c r="E477" s="70" t="s">
        <v>1221</v>
      </c>
      <c r="L477" s="61"/>
      <c r="M477" s="62"/>
      <c r="N477" s="241"/>
      <c r="O477" s="567"/>
      <c r="P477" s="241"/>
      <c r="Q477" s="567"/>
      <c r="R477" s="241"/>
      <c r="S477" s="567"/>
      <c r="T477" s="241"/>
      <c r="U477" s="567"/>
      <c r="V477" s="241"/>
      <c r="W477" s="62"/>
      <c r="X477" s="117"/>
      <c r="Y477" s="173"/>
      <c r="Z477" s="65"/>
    </row>
    <row r="478" ht="14.25" customHeight="1">
      <c r="B478" s="113"/>
      <c r="D478" s="70"/>
      <c r="E478" s="70" t="s">
        <v>1222</v>
      </c>
      <c r="L478" s="61"/>
      <c r="M478" s="62"/>
      <c r="N478" s="241"/>
      <c r="O478" s="567"/>
      <c r="P478" s="241"/>
      <c r="Q478" s="567">
        <v>1.0</v>
      </c>
      <c r="R478" s="241"/>
      <c r="S478" s="567"/>
      <c r="T478" s="241"/>
      <c r="U478" s="567"/>
      <c r="V478" s="241">
        <v>1.0</v>
      </c>
      <c r="W478" s="62"/>
      <c r="X478" s="117"/>
      <c r="Y478" s="173"/>
      <c r="Z478" s="65"/>
    </row>
    <row r="479" ht="14.25" customHeight="1">
      <c r="B479" s="113"/>
      <c r="D479" s="183"/>
      <c r="E479" s="70" t="s">
        <v>1223</v>
      </c>
      <c r="L479" s="61"/>
      <c r="M479" s="62"/>
      <c r="N479" s="63"/>
      <c r="O479" s="62"/>
      <c r="P479" s="63"/>
      <c r="Q479" s="567">
        <v>1.0</v>
      </c>
      <c r="R479" s="63"/>
      <c r="S479" s="62"/>
      <c r="T479" s="63"/>
      <c r="U479" s="62"/>
      <c r="V479" s="241">
        <v>1.0</v>
      </c>
      <c r="W479" s="62"/>
      <c r="X479" s="117"/>
      <c r="Y479" s="173"/>
      <c r="Z479" s="65"/>
    </row>
    <row r="480" ht="14.25" customHeight="1">
      <c r="B480" s="113"/>
      <c r="D480" s="588" t="s">
        <v>1118</v>
      </c>
      <c r="E480" s="589"/>
      <c r="L480" s="61"/>
      <c r="M480" s="62"/>
      <c r="N480" s="63"/>
      <c r="O480" s="62"/>
      <c r="P480" s="63"/>
      <c r="Q480" s="62"/>
      <c r="R480" s="63"/>
      <c r="S480" s="62"/>
      <c r="T480" s="63"/>
      <c r="U480" s="62"/>
      <c r="V480" s="63"/>
      <c r="W480" s="62"/>
      <c r="X480" s="117"/>
      <c r="Y480" s="173"/>
      <c r="Z480" s="65"/>
    </row>
    <row r="481" ht="14.25" customHeight="1">
      <c r="B481" s="113"/>
      <c r="D481" s="200" t="s">
        <v>1043</v>
      </c>
      <c r="E481" s="70" t="s">
        <v>1119</v>
      </c>
      <c r="L481" s="61"/>
      <c r="M481" s="62"/>
      <c r="N481" s="63"/>
      <c r="O481" s="62"/>
      <c r="P481" s="63"/>
      <c r="Q481" s="62"/>
      <c r="R481" s="63"/>
      <c r="S481" s="62"/>
      <c r="T481" s="63"/>
      <c r="U481" s="62"/>
      <c r="V481" s="63"/>
      <c r="W481" s="62"/>
      <c r="X481" s="117"/>
      <c r="Y481" s="173"/>
      <c r="Z481" s="65"/>
    </row>
    <row r="482" ht="14.25" customHeight="1">
      <c r="B482" s="113"/>
      <c r="D482" s="183"/>
      <c r="E482" s="70"/>
      <c r="L482" s="61"/>
      <c r="M482" s="62"/>
      <c r="N482" s="63"/>
      <c r="O482" s="62"/>
      <c r="P482" s="63"/>
      <c r="Q482" s="62"/>
      <c r="R482" s="63"/>
      <c r="S482" s="62"/>
      <c r="T482" s="63"/>
      <c r="U482" s="62"/>
      <c r="V482" s="63"/>
      <c r="W482" s="62"/>
      <c r="X482" s="117"/>
      <c r="Y482" s="173"/>
      <c r="Z482" s="65"/>
    </row>
    <row r="483" ht="14.25" customHeight="1">
      <c r="B483" s="113"/>
      <c r="D483" s="183"/>
      <c r="E483" s="91" t="s">
        <v>1111</v>
      </c>
      <c r="L483" s="61"/>
      <c r="M483" s="62"/>
      <c r="N483" s="63">
        <v>10.0</v>
      </c>
      <c r="O483" s="62">
        <v>93.0</v>
      </c>
      <c r="P483" s="63"/>
      <c r="Q483" s="62"/>
      <c r="R483" s="63"/>
      <c r="S483" s="62">
        <v>15.0</v>
      </c>
      <c r="T483" s="63">
        <v>93.0</v>
      </c>
      <c r="U483" s="62">
        <v>21.0</v>
      </c>
      <c r="V483" s="63">
        <v>93.0</v>
      </c>
      <c r="W483" s="62"/>
      <c r="X483" s="117"/>
      <c r="Y483" s="173"/>
      <c r="Z483" s="65"/>
    </row>
    <row r="484" ht="14.25" customHeight="1">
      <c r="B484" s="113"/>
      <c r="D484" s="183"/>
      <c r="E484" s="70" t="s">
        <v>1112</v>
      </c>
      <c r="L484" s="61"/>
      <c r="M484" s="62"/>
      <c r="N484" s="63" t="s">
        <v>1204</v>
      </c>
      <c r="O484" s="62"/>
      <c r="P484" s="63"/>
      <c r="Q484" s="62"/>
      <c r="R484" s="63"/>
      <c r="S484" s="62"/>
      <c r="T484" s="63"/>
      <c r="U484" s="62"/>
      <c r="V484" s="63"/>
      <c r="W484" s="62"/>
      <c r="X484" s="117"/>
      <c r="Y484" s="173"/>
      <c r="Z484" s="65"/>
    </row>
    <row r="485" ht="14.25" customHeight="1">
      <c r="B485" s="113"/>
      <c r="D485" s="183"/>
      <c r="E485" s="70" t="s">
        <v>1113</v>
      </c>
      <c r="L485" s="61"/>
      <c r="M485" s="62"/>
      <c r="N485" s="63" t="s">
        <v>1204</v>
      </c>
      <c r="O485" s="62"/>
      <c r="P485" s="63"/>
      <c r="Q485" s="62"/>
      <c r="R485" s="63"/>
      <c r="S485" s="62">
        <v>2.0</v>
      </c>
      <c r="T485" s="63"/>
      <c r="U485" s="62"/>
      <c r="V485" s="63"/>
      <c r="W485" s="62"/>
      <c r="X485" s="117"/>
      <c r="Y485" s="173"/>
      <c r="Z485" s="65"/>
    </row>
    <row r="486" ht="14.25" customHeight="1">
      <c r="B486" s="113"/>
      <c r="D486" s="183"/>
      <c r="E486" s="70"/>
      <c r="L486" s="61"/>
      <c r="M486" s="62"/>
      <c r="N486" s="63" t="s">
        <v>1204</v>
      </c>
      <c r="O486" s="62"/>
      <c r="P486" s="63"/>
      <c r="Q486" s="62"/>
      <c r="R486" s="63"/>
      <c r="S486" s="62">
        <v>2.0</v>
      </c>
      <c r="T486" s="63"/>
      <c r="U486" s="62"/>
      <c r="V486" s="63"/>
      <c r="W486" s="62"/>
      <c r="X486" s="117"/>
      <c r="Y486" s="173"/>
      <c r="Z486" s="65"/>
    </row>
    <row r="487" ht="14.25" customHeight="1">
      <c r="B487" s="113"/>
      <c r="D487" s="185" t="s">
        <v>1046</v>
      </c>
      <c r="E487" s="70" t="s">
        <v>1120</v>
      </c>
      <c r="L487" s="61"/>
      <c r="M487" s="62"/>
      <c r="N487" s="63"/>
      <c r="O487" s="62"/>
      <c r="P487" s="63"/>
      <c r="Q487" s="62"/>
      <c r="R487" s="63"/>
      <c r="S487" s="62"/>
      <c r="T487" s="63"/>
      <c r="U487" s="62"/>
      <c r="V487" s="63"/>
      <c r="W487" s="62"/>
      <c r="X487" s="117"/>
      <c r="Y487" s="173"/>
      <c r="Z487" s="65"/>
    </row>
    <row r="488" ht="14.25" customHeight="1">
      <c r="B488" s="113"/>
      <c r="D488" s="183"/>
      <c r="E488" s="70" t="s">
        <v>1111</v>
      </c>
      <c r="L488" s="61"/>
      <c r="M488" s="62"/>
      <c r="N488" s="63"/>
      <c r="O488" s="609">
        <v>1.0</v>
      </c>
      <c r="P488" s="609">
        <v>1.0</v>
      </c>
      <c r="Q488" s="609">
        <v>1.0</v>
      </c>
      <c r="R488" s="63"/>
      <c r="S488" s="62"/>
      <c r="T488" s="610">
        <v>1.0</v>
      </c>
      <c r="U488" s="610">
        <v>1.0</v>
      </c>
      <c r="V488" s="610">
        <v>1.0</v>
      </c>
      <c r="W488" s="62"/>
      <c r="X488" s="117"/>
      <c r="Y488" s="173"/>
      <c r="Z488" s="65"/>
    </row>
    <row r="489" ht="14.25" customHeight="1">
      <c r="B489" s="113"/>
      <c r="D489" s="183"/>
      <c r="E489" s="70" t="s">
        <v>1112</v>
      </c>
      <c r="L489" s="61"/>
      <c r="M489" s="62"/>
      <c r="N489" s="63"/>
      <c r="O489" s="62"/>
      <c r="P489" s="63"/>
      <c r="Q489" s="62"/>
      <c r="R489" s="63"/>
      <c r="S489" s="62"/>
      <c r="T489" s="63"/>
      <c r="U489" s="62"/>
      <c r="V489" s="63"/>
      <c r="W489" s="62"/>
      <c r="X489" s="117"/>
      <c r="Y489" s="173"/>
      <c r="Z489" s="65"/>
    </row>
    <row r="490" ht="14.25" customHeight="1">
      <c r="B490" s="113"/>
      <c r="D490" s="183"/>
      <c r="E490" s="70" t="s">
        <v>1113</v>
      </c>
      <c r="L490" s="61"/>
      <c r="M490" s="62"/>
      <c r="N490" s="63"/>
      <c r="O490" s="62"/>
      <c r="P490" s="63"/>
      <c r="Q490" s="62"/>
      <c r="R490" s="63"/>
      <c r="S490" s="62"/>
      <c r="T490" s="63"/>
      <c r="U490" s="62"/>
      <c r="V490" s="63"/>
      <c r="W490" s="62"/>
      <c r="X490" s="117"/>
      <c r="Y490" s="173"/>
      <c r="Z490" s="65"/>
    </row>
    <row r="491" ht="14.25" customHeight="1">
      <c r="B491" s="113"/>
      <c r="D491" s="183"/>
      <c r="E491" s="70"/>
      <c r="L491" s="61"/>
      <c r="M491" s="62"/>
      <c r="N491" s="63"/>
      <c r="O491" s="62"/>
      <c r="P491" s="63"/>
      <c r="Q491" s="62"/>
      <c r="R491" s="63"/>
      <c r="S491" s="62"/>
      <c r="T491" s="63"/>
      <c r="U491" s="62"/>
      <c r="V491" s="63"/>
      <c r="W491" s="62"/>
      <c r="X491" s="117"/>
      <c r="Y491" s="173"/>
      <c r="Z491" s="65"/>
    </row>
    <row r="492" ht="14.25" customHeight="1">
      <c r="B492" s="113"/>
      <c r="D492" s="185" t="s">
        <v>1049</v>
      </c>
      <c r="E492" s="70" t="s">
        <v>1121</v>
      </c>
      <c r="L492" s="61"/>
      <c r="M492" s="62"/>
      <c r="N492" s="63"/>
      <c r="O492" s="62"/>
      <c r="P492" s="63"/>
      <c r="Q492" s="62"/>
      <c r="R492" s="63"/>
      <c r="S492" s="62"/>
      <c r="T492" s="63"/>
      <c r="U492" s="62"/>
      <c r="V492" s="63"/>
      <c r="W492" s="62"/>
      <c r="X492" s="117"/>
      <c r="Y492" s="173"/>
      <c r="Z492" s="65"/>
    </row>
    <row r="493" ht="14.25" customHeight="1">
      <c r="B493" s="113"/>
      <c r="D493" s="183"/>
      <c r="E493" s="70" t="s">
        <v>1111</v>
      </c>
      <c r="L493" s="61"/>
      <c r="M493" s="62"/>
      <c r="N493" s="611"/>
      <c r="O493" s="62"/>
      <c r="P493" s="611">
        <v>1.0</v>
      </c>
      <c r="Q493" s="62"/>
      <c r="R493" s="63"/>
      <c r="S493" s="611">
        <v>1.0</v>
      </c>
      <c r="T493" s="63"/>
      <c r="U493" s="611">
        <v>1.0</v>
      </c>
      <c r="V493" s="63"/>
      <c r="W493" s="62"/>
      <c r="X493" s="117"/>
      <c r="Y493" s="173"/>
      <c r="Z493" s="65"/>
    </row>
    <row r="494" ht="14.25" customHeight="1">
      <c r="B494" s="113"/>
      <c r="D494" s="183"/>
      <c r="E494" s="70" t="s">
        <v>1112</v>
      </c>
      <c r="L494" s="61"/>
      <c r="M494" s="62"/>
      <c r="N494" s="612"/>
      <c r="O494" s="62"/>
      <c r="P494" s="63"/>
      <c r="Q494" s="62"/>
      <c r="R494" s="63"/>
      <c r="S494" s="612">
        <v>1.0</v>
      </c>
      <c r="T494" s="63"/>
      <c r="U494" s="62"/>
      <c r="V494" s="63"/>
      <c r="W494" s="62"/>
      <c r="X494" s="117"/>
      <c r="Y494" s="173"/>
      <c r="Z494" s="65"/>
    </row>
    <row r="495" ht="14.25" customHeight="1">
      <c r="B495" s="113"/>
      <c r="D495" s="183"/>
      <c r="E495" s="70" t="s">
        <v>1113</v>
      </c>
      <c r="L495" s="61"/>
      <c r="M495" s="62"/>
      <c r="N495" s="612"/>
      <c r="O495" s="62"/>
      <c r="P495" s="63"/>
      <c r="Q495" s="62"/>
      <c r="R495" s="63"/>
      <c r="S495" s="612">
        <v>1.0</v>
      </c>
      <c r="T495" s="63"/>
      <c r="U495" s="62"/>
      <c r="V495" s="63"/>
      <c r="W495" s="62"/>
      <c r="X495" s="117"/>
      <c r="Y495" s="173"/>
      <c r="Z495" s="65"/>
    </row>
    <row r="496" ht="14.25" customHeight="1">
      <c r="B496" s="113"/>
      <c r="D496" s="183"/>
      <c r="E496" s="70"/>
      <c r="L496" s="61"/>
      <c r="M496" s="62"/>
      <c r="N496" s="63"/>
      <c r="O496" s="62"/>
      <c r="P496" s="63"/>
      <c r="Q496" s="62"/>
      <c r="R496" s="63"/>
      <c r="S496" s="62"/>
      <c r="T496" s="63"/>
      <c r="U496" s="62"/>
      <c r="V496" s="63"/>
      <c r="W496" s="62"/>
      <c r="X496" s="117"/>
      <c r="Y496" s="173"/>
      <c r="Z496" s="65"/>
    </row>
    <row r="497" ht="14.25" customHeight="1">
      <c r="B497" s="113"/>
      <c r="D497" s="588" t="s">
        <v>1122</v>
      </c>
      <c r="E497" s="589"/>
      <c r="L497" s="61"/>
      <c r="M497" s="62"/>
      <c r="N497" s="63"/>
      <c r="O497" s="62"/>
      <c r="P497" s="63"/>
      <c r="Q497" s="62"/>
      <c r="R497" s="63"/>
      <c r="S497" s="62"/>
      <c r="T497" s="63"/>
      <c r="U497" s="62"/>
      <c r="V497" s="63"/>
      <c r="W497" s="62"/>
      <c r="X497" s="117"/>
      <c r="Y497" s="173"/>
      <c r="Z497" s="65"/>
    </row>
    <row r="498" ht="14.25" customHeight="1">
      <c r="B498" s="113"/>
      <c r="D498" s="200" t="s">
        <v>1043</v>
      </c>
      <c r="E498" s="70" t="s">
        <v>1123</v>
      </c>
      <c r="L498" s="61"/>
      <c r="M498" s="62"/>
      <c r="N498" s="63"/>
      <c r="O498" s="62"/>
      <c r="P498" s="63"/>
      <c r="Q498" s="62"/>
      <c r="R498" s="63"/>
      <c r="S498" s="62"/>
      <c r="T498" s="63"/>
      <c r="U498" s="62"/>
      <c r="V498" s="63"/>
      <c r="W498" s="62"/>
      <c r="X498" s="117"/>
      <c r="Y498" s="173"/>
      <c r="Z498" s="65"/>
    </row>
    <row r="499" ht="14.25" customHeight="1">
      <c r="B499" s="113"/>
      <c r="D499" s="97"/>
      <c r="E499" s="70"/>
      <c r="L499" s="61"/>
      <c r="M499" s="62"/>
      <c r="N499" s="63"/>
      <c r="O499" s="62"/>
      <c r="P499" s="63"/>
      <c r="Q499" s="62"/>
      <c r="R499" s="63"/>
      <c r="S499" s="62"/>
      <c r="T499" s="63"/>
      <c r="U499" s="62"/>
      <c r="V499" s="63"/>
      <c r="W499" s="62"/>
      <c r="X499" s="117"/>
      <c r="Y499" s="173"/>
      <c r="Z499" s="65"/>
    </row>
    <row r="500" ht="14.25" customHeight="1">
      <c r="B500" s="113"/>
      <c r="D500" s="126"/>
      <c r="E500" s="70" t="s">
        <v>1111</v>
      </c>
      <c r="L500" s="61"/>
      <c r="M500" s="62"/>
      <c r="N500" s="63"/>
      <c r="O500" s="62"/>
      <c r="P500" s="63"/>
      <c r="Q500" s="62"/>
      <c r="R500" s="63"/>
      <c r="S500" s="62">
        <v>15.0</v>
      </c>
      <c r="T500" s="63">
        <v>8.0</v>
      </c>
      <c r="U500" s="62">
        <v>8.0</v>
      </c>
      <c r="V500" s="63">
        <v>5.0</v>
      </c>
      <c r="W500" s="62"/>
      <c r="X500" s="117"/>
      <c r="Y500" s="173"/>
      <c r="Z500" s="65"/>
    </row>
    <row r="501" ht="14.25" customHeight="1">
      <c r="B501" s="113"/>
      <c r="D501" s="126"/>
      <c r="E501" s="70" t="s">
        <v>1112</v>
      </c>
      <c r="L501" s="61"/>
      <c r="M501" s="62"/>
      <c r="N501" s="63"/>
      <c r="O501" s="62"/>
      <c r="P501" s="63"/>
      <c r="Q501" s="62"/>
      <c r="R501" s="63"/>
      <c r="S501" s="62"/>
      <c r="T501" s="63"/>
      <c r="U501" s="62"/>
      <c r="V501" s="63"/>
      <c r="W501" s="62"/>
      <c r="X501" s="117"/>
      <c r="Y501" s="173"/>
      <c r="Z501" s="65"/>
    </row>
    <row r="502" ht="14.25" customHeight="1">
      <c r="B502" s="113"/>
      <c r="D502" s="194"/>
      <c r="E502" s="70" t="s">
        <v>1113</v>
      </c>
      <c r="L502" s="61"/>
      <c r="M502" s="62"/>
      <c r="N502" s="63"/>
      <c r="O502" s="62"/>
      <c r="P502" s="63"/>
      <c r="Q502" s="62"/>
      <c r="R502" s="63"/>
      <c r="S502" s="62"/>
      <c r="T502" s="63"/>
      <c r="U502" s="62"/>
      <c r="V502" s="63"/>
      <c r="W502" s="62"/>
      <c r="X502" s="117"/>
      <c r="Y502" s="173"/>
      <c r="Z502" s="65"/>
    </row>
    <row r="503" ht="14.25" customHeight="1">
      <c r="B503" s="113"/>
      <c r="D503" s="194"/>
      <c r="E503" s="70"/>
      <c r="L503" s="61"/>
      <c r="M503" s="62"/>
      <c r="N503" s="63"/>
      <c r="O503" s="62"/>
      <c r="P503" s="63"/>
      <c r="Q503" s="62"/>
      <c r="R503" s="63"/>
      <c r="S503" s="62"/>
      <c r="T503" s="63"/>
      <c r="U503" s="62"/>
      <c r="V503" s="63"/>
      <c r="W503" s="62"/>
      <c r="X503" s="117"/>
      <c r="Y503" s="173"/>
      <c r="Z503" s="65"/>
    </row>
    <row r="504" ht="14.25" customHeight="1">
      <c r="B504" s="113"/>
      <c r="D504" s="185" t="s">
        <v>1046</v>
      </c>
      <c r="E504" s="70" t="s">
        <v>1124</v>
      </c>
      <c r="L504" s="61"/>
      <c r="M504" s="62"/>
      <c r="N504" s="63"/>
      <c r="O504" s="62"/>
      <c r="P504" s="63"/>
      <c r="Q504" s="62"/>
      <c r="R504" s="63"/>
      <c r="S504" s="62"/>
      <c r="T504" s="63"/>
      <c r="U504" s="62"/>
      <c r="V504" s="63"/>
      <c r="W504" s="62"/>
      <c r="X504" s="117"/>
      <c r="Y504" s="173"/>
      <c r="Z504" s="65"/>
    </row>
    <row r="505" ht="14.25" customHeight="1">
      <c r="B505" s="113"/>
      <c r="D505" s="126"/>
      <c r="E505" s="70" t="s">
        <v>1111</v>
      </c>
      <c r="L505" s="61"/>
      <c r="M505" s="62"/>
      <c r="N505" s="63"/>
      <c r="O505" s="62"/>
      <c r="P505" s="63"/>
      <c r="Q505" s="62"/>
      <c r="R505" s="63"/>
      <c r="S505" s="567">
        <v>1.0</v>
      </c>
      <c r="T505" s="567">
        <v>1.0</v>
      </c>
      <c r="U505" s="567">
        <v>1.0</v>
      </c>
      <c r="V505" s="567">
        <v>1.0</v>
      </c>
      <c r="W505" s="62"/>
      <c r="X505" s="117"/>
      <c r="Y505" s="173"/>
      <c r="Z505" s="65"/>
    </row>
    <row r="506" ht="14.25" customHeight="1">
      <c r="B506" s="113"/>
      <c r="D506" s="126"/>
      <c r="E506" s="70" t="s">
        <v>1112</v>
      </c>
      <c r="L506" s="61"/>
      <c r="M506" s="62"/>
      <c r="N506" s="63"/>
      <c r="O506" s="62"/>
      <c r="P506" s="63"/>
      <c r="Q506" s="62"/>
      <c r="R506" s="63"/>
      <c r="S506" s="62"/>
      <c r="T506" s="63"/>
      <c r="U506" s="62"/>
      <c r="V506" s="63"/>
      <c r="W506" s="62"/>
      <c r="X506" s="117"/>
      <c r="Y506" s="173"/>
      <c r="Z506" s="65"/>
    </row>
    <row r="507" ht="14.25" customHeight="1">
      <c r="B507" s="113"/>
      <c r="D507" s="194"/>
      <c r="E507" s="70" t="s">
        <v>1113</v>
      </c>
      <c r="L507" s="61"/>
      <c r="M507" s="62"/>
      <c r="N507" s="63"/>
      <c r="O507" s="62"/>
      <c r="P507" s="63"/>
      <c r="Q507" s="62"/>
      <c r="R507" s="63"/>
      <c r="S507" s="62"/>
      <c r="T507" s="63"/>
      <c r="U507" s="62"/>
      <c r="V507" s="63"/>
      <c r="W507" s="62"/>
      <c r="X507" s="117"/>
      <c r="Y507" s="173"/>
      <c r="Z507" s="65"/>
    </row>
    <row r="508" ht="14.25" customHeight="1">
      <c r="B508" s="113"/>
      <c r="D508" s="194"/>
      <c r="E508" s="70"/>
      <c r="L508" s="61"/>
      <c r="M508" s="62"/>
      <c r="N508" s="63"/>
      <c r="O508" s="62"/>
      <c r="P508" s="63"/>
      <c r="Q508" s="62"/>
      <c r="R508" s="63"/>
      <c r="S508" s="62"/>
      <c r="T508" s="63"/>
      <c r="U508" s="62"/>
      <c r="V508" s="63"/>
      <c r="W508" s="62"/>
      <c r="X508" s="117"/>
      <c r="Y508" s="173"/>
      <c r="Z508" s="65"/>
    </row>
    <row r="509" ht="14.25" customHeight="1">
      <c r="B509" s="113"/>
      <c r="D509" s="185" t="s">
        <v>1049</v>
      </c>
      <c r="E509" s="91" t="s">
        <v>1125</v>
      </c>
      <c r="L509" s="61"/>
      <c r="M509" s="62"/>
      <c r="N509" s="63"/>
      <c r="O509" s="62"/>
      <c r="P509" s="63"/>
      <c r="Q509" s="62"/>
      <c r="R509" s="63"/>
      <c r="S509" s="62"/>
      <c r="T509" s="63"/>
      <c r="U509" s="62"/>
      <c r="V509" s="63"/>
      <c r="W509" s="62"/>
      <c r="X509" s="117"/>
      <c r="Y509" s="173"/>
      <c r="Z509" s="65"/>
    </row>
    <row r="510" ht="14.25" customHeight="1">
      <c r="B510" s="113"/>
      <c r="D510" s="126"/>
      <c r="E510" s="70" t="s">
        <v>1111</v>
      </c>
      <c r="L510" s="61"/>
      <c r="M510" s="62"/>
      <c r="N510" s="63"/>
      <c r="O510" s="62"/>
      <c r="P510" s="63"/>
      <c r="Q510" s="62"/>
      <c r="R510" s="63"/>
      <c r="S510" s="567">
        <v>1.0</v>
      </c>
      <c r="T510" s="567">
        <v>1.0</v>
      </c>
      <c r="U510" s="567">
        <v>1.0</v>
      </c>
      <c r="V510" s="567">
        <v>1.0</v>
      </c>
      <c r="W510" s="62"/>
      <c r="X510" s="117"/>
      <c r="Y510" s="173"/>
      <c r="Z510" s="65"/>
    </row>
    <row r="511" ht="14.25" customHeight="1">
      <c r="B511" s="113"/>
      <c r="D511" s="126"/>
      <c r="E511" s="70" t="s">
        <v>1112</v>
      </c>
      <c r="L511" s="61"/>
      <c r="M511" s="62"/>
      <c r="N511" s="63"/>
      <c r="O511" s="62"/>
      <c r="P511" s="63"/>
      <c r="Q511" s="62"/>
      <c r="R511" s="63"/>
      <c r="S511" s="62"/>
      <c r="T511" s="63"/>
      <c r="U511" s="62"/>
      <c r="V511" s="63"/>
      <c r="W511" s="62"/>
      <c r="X511" s="117"/>
      <c r="Y511" s="173"/>
      <c r="Z511" s="65"/>
    </row>
    <row r="512" ht="14.25" customHeight="1">
      <c r="B512" s="113"/>
      <c r="D512" s="194"/>
      <c r="E512" s="70" t="s">
        <v>1113</v>
      </c>
      <c r="L512" s="61"/>
      <c r="M512" s="62"/>
      <c r="N512" s="63"/>
      <c r="O512" s="62"/>
      <c r="P512" s="63"/>
      <c r="Q512" s="62"/>
      <c r="R512" s="63"/>
      <c r="S512" s="62"/>
      <c r="T512" s="63"/>
      <c r="U512" s="62"/>
      <c r="V512" s="63"/>
      <c r="W512" s="62"/>
      <c r="X512" s="117"/>
      <c r="Y512" s="173"/>
      <c r="Z512" s="65"/>
    </row>
    <row r="513" ht="14.25" customHeight="1">
      <c r="B513" s="113"/>
      <c r="D513" s="70"/>
      <c r="E513" s="70"/>
      <c r="L513" s="61"/>
      <c r="M513" s="62"/>
      <c r="N513" s="63"/>
      <c r="O513" s="62"/>
      <c r="P513" s="63"/>
      <c r="Q513" s="62"/>
      <c r="R513" s="63"/>
      <c r="S513" s="62"/>
      <c r="T513" s="63"/>
      <c r="U513" s="62"/>
      <c r="V513" s="63"/>
      <c r="W513" s="62"/>
      <c r="X513" s="117"/>
      <c r="Y513" s="173"/>
      <c r="Z513" s="65"/>
    </row>
    <row r="514" ht="14.25" customHeight="1">
      <c r="B514" s="113"/>
      <c r="L514" s="61"/>
      <c r="M514" s="62"/>
      <c r="N514" s="63"/>
      <c r="O514" s="62"/>
      <c r="P514" s="63"/>
      <c r="Q514" s="62"/>
      <c r="R514" s="63"/>
      <c r="S514" s="62"/>
      <c r="T514" s="63"/>
      <c r="U514" s="62"/>
      <c r="V514" s="63"/>
      <c r="W514" s="62"/>
      <c r="X514" s="117"/>
      <c r="Y514" s="173"/>
      <c r="Z514" s="65"/>
    </row>
    <row r="515" ht="14.25" customHeight="1">
      <c r="B515" s="60" t="s">
        <v>1126</v>
      </c>
      <c r="L515" s="61"/>
      <c r="M515" s="62"/>
      <c r="N515" s="63"/>
      <c r="O515" s="62"/>
      <c r="P515" s="63"/>
      <c r="Q515" s="62"/>
      <c r="R515" s="63"/>
      <c r="S515" s="62"/>
      <c r="T515" s="63"/>
      <c r="U515" s="62"/>
      <c r="V515" s="63"/>
      <c r="W515" s="62"/>
      <c r="X515" s="117"/>
      <c r="Y515" s="173"/>
      <c r="Z515" s="65"/>
    </row>
    <row r="516" ht="14.25" customHeight="1">
      <c r="B516" s="113"/>
      <c r="L516" s="61"/>
      <c r="M516" s="62"/>
      <c r="N516" s="63"/>
      <c r="O516" s="62"/>
      <c r="P516" s="63"/>
      <c r="Q516" s="62"/>
      <c r="R516" s="63"/>
      <c r="S516" s="62"/>
      <c r="T516" s="63"/>
      <c r="U516" s="62"/>
      <c r="V516" s="63"/>
      <c r="W516" s="62"/>
      <c r="X516" s="117"/>
      <c r="Y516" s="173"/>
      <c r="Z516" s="65"/>
    </row>
    <row r="517" ht="14.25" customHeight="1">
      <c r="B517" s="113"/>
      <c r="D517" s="591" t="s">
        <v>1127</v>
      </c>
      <c r="E517" s="592" t="s">
        <v>1128</v>
      </c>
      <c r="F517" s="593"/>
      <c r="G517" s="593"/>
      <c r="L517" s="61"/>
      <c r="M517" s="62"/>
      <c r="N517" s="63"/>
      <c r="O517" s="62"/>
      <c r="P517" s="63"/>
      <c r="Q517" s="62"/>
      <c r="R517" s="63"/>
      <c r="S517" s="62"/>
      <c r="T517" s="63"/>
      <c r="U517" s="62"/>
      <c r="V517" s="63"/>
      <c r="W517" s="62"/>
      <c r="X517" s="117"/>
      <c r="Y517" s="173"/>
      <c r="Z517" s="65"/>
    </row>
    <row r="518" ht="14.25" customHeight="1">
      <c r="B518" s="113"/>
      <c r="D518" s="592"/>
      <c r="E518" s="591" t="s">
        <v>1129</v>
      </c>
      <c r="F518" s="593" t="s">
        <v>1130</v>
      </c>
      <c r="G518" s="593"/>
      <c r="L518" s="61"/>
      <c r="M518" s="62"/>
      <c r="N518" s="63">
        <v>5.0</v>
      </c>
      <c r="O518" s="62">
        <v>2.0</v>
      </c>
      <c r="P518" s="63"/>
      <c r="Q518" s="62">
        <v>4.0</v>
      </c>
      <c r="R518" s="63"/>
      <c r="S518" s="62">
        <v>6.0</v>
      </c>
      <c r="T518" s="63">
        <v>2.0</v>
      </c>
      <c r="U518" s="62"/>
      <c r="V518" s="63">
        <v>11.0</v>
      </c>
      <c r="W518" s="62"/>
      <c r="X518" s="117"/>
      <c r="Y518" s="173"/>
      <c r="Z518" s="65"/>
    </row>
    <row r="519" ht="14.25" customHeight="1">
      <c r="B519" s="113"/>
      <c r="D519" s="592"/>
      <c r="E519" s="591" t="s">
        <v>1131</v>
      </c>
      <c r="F519" s="593" t="s">
        <v>1224</v>
      </c>
      <c r="G519" s="593"/>
      <c r="L519" s="61"/>
      <c r="M519" s="62"/>
      <c r="N519" s="63">
        <v>4.0</v>
      </c>
      <c r="O519" s="62"/>
      <c r="P519" s="63"/>
      <c r="Q519" s="62"/>
      <c r="R519" s="63"/>
      <c r="S519" s="62">
        <v>4.0</v>
      </c>
      <c r="T519" s="63"/>
      <c r="U519" s="62"/>
      <c r="V519" s="63"/>
      <c r="W519" s="62"/>
      <c r="X519" s="117"/>
      <c r="Y519" s="173"/>
      <c r="Z519" s="65"/>
    </row>
    <row r="520" ht="14.25" customHeight="1">
      <c r="B520" s="113"/>
      <c r="D520" s="591" t="s">
        <v>906</v>
      </c>
      <c r="E520" s="593" t="s">
        <v>1133</v>
      </c>
      <c r="F520" s="593"/>
      <c r="G520" s="593"/>
      <c r="L520" s="61"/>
      <c r="M520" s="62"/>
      <c r="N520" s="63"/>
      <c r="O520" s="62"/>
      <c r="P520" s="63"/>
      <c r="Q520" s="62"/>
      <c r="R520" s="63"/>
      <c r="S520" s="62"/>
      <c r="T520" s="63"/>
      <c r="U520" s="62"/>
      <c r="V520" s="63"/>
      <c r="W520" s="62"/>
      <c r="X520" s="117"/>
      <c r="Y520" s="173"/>
      <c r="Z520" s="65"/>
    </row>
    <row r="521" ht="14.25" customHeight="1">
      <c r="B521" s="113"/>
      <c r="D521" s="593"/>
      <c r="E521" s="591" t="s">
        <v>1134</v>
      </c>
      <c r="F521" s="593" t="s">
        <v>1135</v>
      </c>
      <c r="G521" s="593"/>
      <c r="L521" s="61"/>
      <c r="M521" s="62"/>
      <c r="N521" s="63">
        <v>3.0</v>
      </c>
      <c r="O521" s="62">
        <v>7.0</v>
      </c>
      <c r="P521" s="63">
        <v>3.0</v>
      </c>
      <c r="Q521" s="62"/>
      <c r="R521" s="63"/>
      <c r="S521" s="62">
        <v>6.0</v>
      </c>
      <c r="T521" s="63">
        <v>7.0</v>
      </c>
      <c r="U521" s="62">
        <v>2.0</v>
      </c>
      <c r="V521" s="63">
        <v>7.0</v>
      </c>
      <c r="W521" s="62"/>
      <c r="X521" s="117"/>
      <c r="Y521" s="173"/>
      <c r="Z521" s="65"/>
    </row>
    <row r="522" ht="14.25" customHeight="1">
      <c r="B522" s="113"/>
      <c r="D522" s="593"/>
      <c r="E522" s="591" t="s">
        <v>1136</v>
      </c>
      <c r="F522" s="593" t="s">
        <v>1137</v>
      </c>
      <c r="G522" s="593"/>
      <c r="L522" s="61"/>
      <c r="M522" s="62"/>
      <c r="N522" s="63">
        <v>3.0</v>
      </c>
      <c r="O522" s="62">
        <v>3.0</v>
      </c>
      <c r="P522" s="63"/>
      <c r="Q522" s="62"/>
      <c r="R522" s="63"/>
      <c r="S522" s="62">
        <v>4.0</v>
      </c>
      <c r="T522" s="63">
        <v>3.0</v>
      </c>
      <c r="U522" s="62">
        <v>2.0</v>
      </c>
      <c r="V522" s="63"/>
      <c r="W522" s="62"/>
      <c r="X522" s="117"/>
      <c r="Y522" s="173"/>
      <c r="Z522" s="65"/>
    </row>
    <row r="523" ht="14.25" customHeight="1">
      <c r="B523" s="113"/>
      <c r="D523" s="591" t="s">
        <v>924</v>
      </c>
      <c r="E523" s="593" t="s">
        <v>1138</v>
      </c>
      <c r="F523" s="593"/>
      <c r="G523" s="593"/>
      <c r="L523" s="61"/>
      <c r="M523" s="62"/>
      <c r="N523" s="63"/>
      <c r="O523" s="62"/>
      <c r="P523" s="63"/>
      <c r="Q523" s="62"/>
      <c r="R523" s="63"/>
      <c r="S523" s="62"/>
      <c r="T523" s="63"/>
      <c r="U523" s="62"/>
      <c r="V523" s="63"/>
      <c r="W523" s="62"/>
      <c r="X523" s="117"/>
      <c r="Y523" s="173"/>
      <c r="Z523" s="65"/>
    </row>
    <row r="524" ht="14.25" customHeight="1">
      <c r="B524" s="113"/>
      <c r="D524" s="592"/>
      <c r="E524" s="595" t="s">
        <v>1139</v>
      </c>
      <c r="F524" s="593" t="s">
        <v>1140</v>
      </c>
      <c r="G524" s="593"/>
      <c r="L524" s="61"/>
      <c r="M524" s="62"/>
      <c r="N524" s="63">
        <v>1.0</v>
      </c>
      <c r="O524" s="62"/>
      <c r="P524" s="63"/>
      <c r="Q524" s="62"/>
      <c r="R524" s="63"/>
      <c r="S524" s="62">
        <v>2.0</v>
      </c>
      <c r="T524" s="63"/>
      <c r="U524" s="62">
        <v>1.0</v>
      </c>
      <c r="V524" s="63">
        <v>7.0</v>
      </c>
      <c r="W524" s="62"/>
      <c r="X524" s="117"/>
      <c r="Y524" s="173"/>
      <c r="Z524" s="65"/>
    </row>
    <row r="525" ht="14.25" customHeight="1">
      <c r="B525" s="113"/>
      <c r="D525" s="592"/>
      <c r="E525" s="595" t="s">
        <v>1141</v>
      </c>
      <c r="F525" s="593" t="s">
        <v>1142</v>
      </c>
      <c r="G525" s="593"/>
      <c r="L525" s="61"/>
      <c r="M525" s="62"/>
      <c r="N525" s="63">
        <v>1.0</v>
      </c>
      <c r="O525" s="62"/>
      <c r="P525" s="63"/>
      <c r="Q525" s="62"/>
      <c r="R525" s="63"/>
      <c r="S525" s="62">
        <v>2.0</v>
      </c>
      <c r="T525" s="63"/>
      <c r="U525" s="62">
        <v>1.0</v>
      </c>
      <c r="V525" s="63"/>
      <c r="W525" s="62"/>
      <c r="X525" s="117"/>
      <c r="Y525" s="173"/>
      <c r="Z525" s="65"/>
    </row>
    <row r="526" ht="14.25" customHeight="1">
      <c r="B526" s="113"/>
      <c r="D526" s="591" t="s">
        <v>926</v>
      </c>
      <c r="E526" s="595" t="s">
        <v>1143</v>
      </c>
      <c r="F526" s="593"/>
      <c r="G526" s="593"/>
      <c r="L526" s="61"/>
      <c r="M526" s="62"/>
      <c r="N526" s="63"/>
      <c r="O526" s="62"/>
      <c r="P526" s="63"/>
      <c r="Q526" s="62"/>
      <c r="R526" s="63"/>
      <c r="S526" s="62"/>
      <c r="T526" s="63"/>
      <c r="U526" s="62"/>
      <c r="V526" s="63"/>
      <c r="W526" s="62"/>
      <c r="X526" s="117"/>
      <c r="Y526" s="173"/>
      <c r="Z526" s="65"/>
    </row>
    <row r="527" ht="14.25" customHeight="1">
      <c r="B527" s="113"/>
      <c r="D527" s="592"/>
      <c r="E527" s="595" t="s">
        <v>1144</v>
      </c>
      <c r="F527" s="593" t="s">
        <v>1145</v>
      </c>
      <c r="G527" s="593"/>
      <c r="L527" s="61"/>
      <c r="M527" s="62"/>
      <c r="N527" s="63"/>
      <c r="O527" s="62"/>
      <c r="P527" s="63"/>
      <c r="Q527" s="62">
        <v>5.0</v>
      </c>
      <c r="R527" s="63"/>
      <c r="S527" s="62"/>
      <c r="T527" s="63"/>
      <c r="U527" s="62">
        <v>1.0</v>
      </c>
      <c r="V527" s="63">
        <v>11.0</v>
      </c>
      <c r="W527" s="62"/>
      <c r="X527" s="117"/>
      <c r="Y527" s="173"/>
      <c r="Z527" s="65"/>
    </row>
    <row r="528" ht="14.25" customHeight="1">
      <c r="B528" s="113"/>
      <c r="D528" s="592"/>
      <c r="E528" s="595" t="s">
        <v>1146</v>
      </c>
      <c r="F528" s="593" t="s">
        <v>1147</v>
      </c>
      <c r="G528" s="593"/>
      <c r="L528" s="61"/>
      <c r="M528" s="62"/>
      <c r="N528" s="63"/>
      <c r="O528" s="62"/>
      <c r="P528" s="63"/>
      <c r="Q528" s="62">
        <v>3.0</v>
      </c>
      <c r="R528" s="63"/>
      <c r="S528" s="62"/>
      <c r="T528" s="63"/>
      <c r="U528" s="62">
        <v>5.0</v>
      </c>
      <c r="V528" s="63">
        <v>8.0</v>
      </c>
      <c r="W528" s="62"/>
      <c r="X528" s="117"/>
      <c r="Y528" s="173"/>
      <c r="Z528" s="65"/>
    </row>
    <row r="529" ht="14.25" customHeight="1">
      <c r="B529" s="113"/>
      <c r="D529" s="592"/>
      <c r="E529" s="595" t="s">
        <v>1148</v>
      </c>
      <c r="F529" s="593" t="s">
        <v>1149</v>
      </c>
      <c r="G529" s="593"/>
      <c r="L529" s="61"/>
      <c r="M529" s="62"/>
      <c r="N529" s="63"/>
      <c r="O529" s="62"/>
      <c r="P529" s="63"/>
      <c r="Q529" s="62">
        <v>5.0</v>
      </c>
      <c r="R529" s="63"/>
      <c r="S529" s="62"/>
      <c r="T529" s="63"/>
      <c r="U529" s="62">
        <v>1.0</v>
      </c>
      <c r="V529" s="63">
        <v>11.0</v>
      </c>
      <c r="W529" s="62"/>
      <c r="X529" s="117"/>
      <c r="Y529" s="173"/>
      <c r="Z529" s="65"/>
    </row>
    <row r="530" ht="14.25" customHeight="1">
      <c r="B530" s="113"/>
      <c r="D530" s="592"/>
      <c r="E530" s="595" t="s">
        <v>1150</v>
      </c>
      <c r="F530" s="593" t="s">
        <v>1151</v>
      </c>
      <c r="G530" s="593"/>
      <c r="L530" s="61"/>
      <c r="M530" s="62"/>
      <c r="N530" s="63"/>
      <c r="O530" s="62"/>
      <c r="P530" s="63"/>
      <c r="Q530" s="62">
        <v>3.0</v>
      </c>
      <c r="R530" s="63"/>
      <c r="S530" s="62"/>
      <c r="T530" s="63"/>
      <c r="U530" s="62">
        <v>5.0</v>
      </c>
      <c r="V530" s="63">
        <v>8.0</v>
      </c>
      <c r="W530" s="62"/>
      <c r="X530" s="117"/>
      <c r="Y530" s="173"/>
      <c r="Z530" s="65"/>
    </row>
    <row r="531" ht="14.25" customHeight="1">
      <c r="B531" s="113"/>
      <c r="D531" s="591" t="s">
        <v>1152</v>
      </c>
      <c r="E531" s="593" t="s">
        <v>1153</v>
      </c>
      <c r="F531" s="593"/>
      <c r="G531" s="593"/>
      <c r="L531" s="61"/>
      <c r="M531" s="62"/>
      <c r="N531" s="63"/>
      <c r="O531" s="62"/>
      <c r="P531" s="63"/>
      <c r="Q531" s="62"/>
      <c r="R531" s="63"/>
      <c r="S531" s="62"/>
      <c r="T531" s="63"/>
      <c r="U531" s="62"/>
      <c r="V531" s="63"/>
      <c r="W531" s="62"/>
      <c r="X531" s="117"/>
      <c r="Y531" s="173"/>
      <c r="Z531" s="65"/>
    </row>
    <row r="532" ht="14.25" customHeight="1">
      <c r="B532" s="113"/>
      <c r="D532" s="592"/>
      <c r="E532" s="595" t="s">
        <v>1154</v>
      </c>
      <c r="F532" s="593" t="s">
        <v>1155</v>
      </c>
      <c r="G532" s="593"/>
      <c r="L532" s="61"/>
      <c r="M532" s="62"/>
      <c r="N532" s="63">
        <v>15.0</v>
      </c>
      <c r="O532" s="62">
        <v>15.0</v>
      </c>
      <c r="P532" s="63">
        <v>50.0</v>
      </c>
      <c r="Q532" s="62">
        <v>66.0</v>
      </c>
      <c r="R532" s="63"/>
      <c r="S532" s="62">
        <v>20.0</v>
      </c>
      <c r="T532" s="63">
        <v>32.0</v>
      </c>
      <c r="U532" s="62">
        <v>62.0</v>
      </c>
      <c r="V532" s="63">
        <v>69.0</v>
      </c>
      <c r="W532" s="62"/>
      <c r="X532" s="117"/>
      <c r="Y532" s="173"/>
      <c r="Z532" s="65"/>
    </row>
    <row r="533" ht="14.25" customHeight="1">
      <c r="B533" s="113"/>
      <c r="D533" s="592"/>
      <c r="E533" s="595" t="s">
        <v>1156</v>
      </c>
      <c r="F533" s="593" t="s">
        <v>1157</v>
      </c>
      <c r="G533" s="593"/>
      <c r="L533" s="61"/>
      <c r="M533" s="62"/>
      <c r="N533" s="63">
        <v>15.0</v>
      </c>
      <c r="O533" s="62">
        <v>15.0</v>
      </c>
      <c r="P533" s="63">
        <v>50.0</v>
      </c>
      <c r="Q533" s="62">
        <v>66.0</v>
      </c>
      <c r="R533" s="63"/>
      <c r="S533" s="62">
        <v>20.0</v>
      </c>
      <c r="T533" s="63">
        <v>32.0</v>
      </c>
      <c r="U533" s="62">
        <v>62.0</v>
      </c>
      <c r="V533" s="63">
        <v>69.0</v>
      </c>
      <c r="W533" s="62"/>
      <c r="X533" s="117"/>
      <c r="Y533" s="173"/>
      <c r="Z533" s="65"/>
    </row>
    <row r="534" ht="14.25" customHeight="1">
      <c r="B534" s="113"/>
      <c r="D534" s="591" t="s">
        <v>1158</v>
      </c>
      <c r="E534" s="593" t="s">
        <v>1159</v>
      </c>
      <c r="F534" s="593"/>
      <c r="G534" s="593"/>
      <c r="L534" s="61"/>
      <c r="M534" s="62"/>
      <c r="N534" s="63"/>
      <c r="O534" s="62"/>
      <c r="P534" s="63"/>
      <c r="Q534" s="62"/>
      <c r="R534" s="63"/>
      <c r="S534" s="62"/>
      <c r="T534" s="63"/>
      <c r="U534" s="62"/>
      <c r="V534" s="63"/>
      <c r="W534" s="62"/>
      <c r="X534" s="117"/>
      <c r="Y534" s="173"/>
      <c r="Z534" s="65"/>
    </row>
    <row r="535" ht="14.25" customHeight="1">
      <c r="B535" s="113"/>
      <c r="D535" s="592"/>
      <c r="E535" s="595" t="s">
        <v>1160</v>
      </c>
      <c r="F535" s="593" t="s">
        <v>1203</v>
      </c>
      <c r="G535" s="593"/>
      <c r="L535" s="61"/>
      <c r="M535" s="62"/>
      <c r="N535" s="63" t="s">
        <v>131</v>
      </c>
      <c r="O535" s="62">
        <v>1.0</v>
      </c>
      <c r="P535" s="63"/>
      <c r="Q535" s="62">
        <v>1.0</v>
      </c>
      <c r="R535" s="63"/>
      <c r="S535" s="62" t="s">
        <v>1225</v>
      </c>
      <c r="T535" s="63">
        <v>1.0</v>
      </c>
      <c r="U535" s="62">
        <v>1.0</v>
      </c>
      <c r="V535" s="63">
        <v>2.0</v>
      </c>
      <c r="W535" s="62"/>
      <c r="X535" s="117"/>
      <c r="Y535" s="173"/>
      <c r="Z535" s="65"/>
    </row>
    <row r="536" ht="14.25" customHeight="1">
      <c r="B536" s="113"/>
      <c r="D536" s="592"/>
      <c r="E536" s="595" t="s">
        <v>1162</v>
      </c>
      <c r="F536" s="593" t="s">
        <v>1163</v>
      </c>
      <c r="G536" s="593"/>
      <c r="L536" s="61"/>
      <c r="M536" s="62"/>
      <c r="N536" s="63" t="s">
        <v>131</v>
      </c>
      <c r="O536" s="62"/>
      <c r="P536" s="63"/>
      <c r="Q536" s="62">
        <v>1.0</v>
      </c>
      <c r="R536" s="63"/>
      <c r="S536" s="62" t="s">
        <v>1225</v>
      </c>
      <c r="T536" s="63"/>
      <c r="U536" s="62">
        <v>1.0</v>
      </c>
      <c r="V536" s="63">
        <v>2.0</v>
      </c>
      <c r="W536" s="62"/>
      <c r="X536" s="117"/>
      <c r="Y536" s="173"/>
      <c r="Z536" s="65"/>
    </row>
    <row r="537" ht="14.25" customHeight="1">
      <c r="B537" s="113"/>
      <c r="D537" s="592"/>
      <c r="E537" s="595" t="s">
        <v>1164</v>
      </c>
      <c r="F537" s="593" t="s">
        <v>1165</v>
      </c>
      <c r="G537" s="593"/>
      <c r="L537" s="61"/>
      <c r="M537" s="62"/>
      <c r="N537" s="63" t="s">
        <v>131</v>
      </c>
      <c r="O537" s="62">
        <v>1.0</v>
      </c>
      <c r="P537" s="63"/>
      <c r="Q537" s="62"/>
      <c r="R537" s="63"/>
      <c r="S537" s="62" t="s">
        <v>1225</v>
      </c>
      <c r="T537" s="63">
        <v>1.0</v>
      </c>
      <c r="U537" s="62"/>
      <c r="V537" s="63"/>
      <c r="W537" s="62"/>
      <c r="X537" s="117"/>
      <c r="Y537" s="173"/>
      <c r="Z537" s="65"/>
    </row>
    <row r="538" ht="14.25" customHeight="1">
      <c r="B538" s="113"/>
      <c r="D538" s="592"/>
      <c r="E538" s="592">
        <v>6.3</v>
      </c>
      <c r="F538" s="593" t="s">
        <v>1166</v>
      </c>
      <c r="G538" s="593"/>
      <c r="L538" s="61"/>
      <c r="M538" s="62"/>
      <c r="N538" s="63" t="s">
        <v>131</v>
      </c>
      <c r="O538" s="62">
        <v>1.0</v>
      </c>
      <c r="P538" s="63"/>
      <c r="Q538" s="62"/>
      <c r="R538" s="63"/>
      <c r="S538" s="62" t="s">
        <v>1225</v>
      </c>
      <c r="T538" s="63">
        <v>1.0</v>
      </c>
      <c r="U538" s="62"/>
      <c r="V538" s="63"/>
      <c r="W538" s="62"/>
      <c r="X538" s="117"/>
      <c r="Y538" s="173"/>
      <c r="Z538" s="65"/>
    </row>
    <row r="539" ht="14.25" customHeight="1">
      <c r="B539" s="113"/>
      <c r="D539" s="592"/>
      <c r="E539" s="592"/>
      <c r="F539" s="593"/>
      <c r="G539" s="593"/>
      <c r="L539" s="61"/>
      <c r="M539" s="62"/>
      <c r="N539" s="63"/>
      <c r="O539" s="62"/>
      <c r="P539" s="63"/>
      <c r="Q539" s="62"/>
      <c r="R539" s="63"/>
      <c r="S539" s="62"/>
      <c r="T539" s="63"/>
      <c r="U539" s="62"/>
      <c r="V539" s="63"/>
      <c r="W539" s="62"/>
      <c r="X539" s="117"/>
      <c r="Y539" s="173"/>
      <c r="Z539" s="65"/>
    </row>
    <row r="540" ht="14.25" customHeight="1">
      <c r="B540" s="113"/>
      <c r="D540" s="591" t="s">
        <v>1167</v>
      </c>
      <c r="E540" s="593" t="s">
        <v>1168</v>
      </c>
      <c r="F540" s="593"/>
      <c r="G540" s="593"/>
      <c r="L540" s="61"/>
      <c r="M540" s="62"/>
      <c r="N540" s="63"/>
      <c r="O540" s="62"/>
      <c r="P540" s="63"/>
      <c r="Q540" s="62"/>
      <c r="R540" s="63"/>
      <c r="S540" s="62"/>
      <c r="T540" s="63"/>
      <c r="U540" s="62"/>
      <c r="V540" s="63"/>
      <c r="W540" s="62"/>
      <c r="X540" s="117"/>
      <c r="Y540" s="173"/>
      <c r="Z540" s="65"/>
    </row>
    <row r="541" ht="14.25" customHeight="1">
      <c r="B541" s="113"/>
      <c r="D541" s="592"/>
      <c r="E541" s="595" t="s">
        <v>1169</v>
      </c>
      <c r="F541" s="593" t="s">
        <v>1170</v>
      </c>
      <c r="G541" s="593"/>
      <c r="L541" s="61"/>
      <c r="M541" s="62"/>
      <c r="N541" s="63" t="s">
        <v>131</v>
      </c>
      <c r="O541" s="62"/>
      <c r="P541" s="63"/>
      <c r="Q541" s="62" t="s">
        <v>131</v>
      </c>
      <c r="R541" s="63"/>
      <c r="S541" s="62" t="s">
        <v>1225</v>
      </c>
      <c r="T541" s="63"/>
      <c r="U541" s="62">
        <v>1.0</v>
      </c>
      <c r="V541" s="63">
        <v>1.0</v>
      </c>
      <c r="W541" s="62"/>
      <c r="X541" s="117"/>
      <c r="Y541" s="173"/>
      <c r="Z541" s="65"/>
    </row>
    <row r="542" ht="15.75" customHeight="1">
      <c r="B542" s="113"/>
      <c r="D542" s="592"/>
      <c r="E542" s="596" t="s">
        <v>1171</v>
      </c>
      <c r="F542" s="593" t="s">
        <v>1172</v>
      </c>
      <c r="G542" s="593"/>
      <c r="L542" s="61"/>
      <c r="M542" s="62"/>
      <c r="N542" s="63" t="s">
        <v>131</v>
      </c>
      <c r="O542" s="62"/>
      <c r="P542" s="63"/>
      <c r="Q542" s="62"/>
      <c r="R542" s="63"/>
      <c r="S542" s="62" t="s">
        <v>1225</v>
      </c>
      <c r="T542" s="63"/>
      <c r="U542" s="62">
        <v>1.0</v>
      </c>
      <c r="V542" s="63"/>
      <c r="W542" s="62"/>
      <c r="X542" s="117"/>
      <c r="Y542" s="173"/>
      <c r="Z542" s="65"/>
    </row>
    <row r="543" ht="14.25" customHeight="1">
      <c r="B543" s="113"/>
      <c r="D543" s="592"/>
      <c r="E543" s="596" t="s">
        <v>1173</v>
      </c>
      <c r="F543" s="597" t="s">
        <v>1174</v>
      </c>
      <c r="G543" s="593"/>
      <c r="L543" s="61"/>
      <c r="M543" s="62"/>
      <c r="N543" s="63" t="s">
        <v>131</v>
      </c>
      <c r="O543" s="62"/>
      <c r="P543" s="63"/>
      <c r="Q543" s="62" t="s">
        <v>131</v>
      </c>
      <c r="R543" s="63"/>
      <c r="S543" s="62" t="s">
        <v>1225</v>
      </c>
      <c r="T543" s="63"/>
      <c r="U543" s="62"/>
      <c r="V543" s="63">
        <v>1.0</v>
      </c>
      <c r="W543" s="62"/>
      <c r="X543" s="117"/>
      <c r="Y543" s="173"/>
      <c r="Z543" s="65"/>
    </row>
    <row r="544" ht="14.25" customHeight="1">
      <c r="B544" s="113"/>
      <c r="D544" s="592"/>
      <c r="E544" s="592"/>
      <c r="F544" s="593"/>
      <c r="G544" s="593"/>
      <c r="L544" s="61"/>
      <c r="M544" s="62"/>
      <c r="N544" s="63"/>
      <c r="O544" s="62"/>
      <c r="P544" s="63"/>
      <c r="Q544" s="62"/>
      <c r="R544" s="63"/>
      <c r="S544" s="62"/>
      <c r="T544" s="63"/>
      <c r="U544" s="62"/>
      <c r="V544" s="63"/>
      <c r="W544" s="62"/>
      <c r="X544" s="117"/>
      <c r="Y544" s="173"/>
      <c r="Z544" s="65"/>
    </row>
    <row r="545" ht="14.25" customHeight="1">
      <c r="B545" s="113"/>
      <c r="D545" s="592"/>
      <c r="E545" s="597"/>
      <c r="F545" s="597"/>
      <c r="G545" s="593"/>
      <c r="L545" s="61"/>
      <c r="M545" s="62"/>
      <c r="N545" s="63"/>
      <c r="O545" s="62"/>
      <c r="P545" s="63"/>
      <c r="Q545" s="62"/>
      <c r="R545" s="63"/>
      <c r="S545" s="62"/>
      <c r="T545" s="63"/>
      <c r="U545" s="62"/>
      <c r="V545" s="63"/>
      <c r="W545" s="62"/>
      <c r="X545" s="117"/>
      <c r="Y545" s="173"/>
      <c r="Z545" s="65"/>
    </row>
    <row r="546" ht="14.25" customHeight="1">
      <c r="B546" s="113"/>
      <c r="D546" s="591" t="s">
        <v>1175</v>
      </c>
      <c r="E546" s="595" t="s">
        <v>1176</v>
      </c>
      <c r="F546" s="593"/>
      <c r="G546" s="593"/>
      <c r="L546" s="61"/>
      <c r="M546" s="62"/>
      <c r="N546" s="63"/>
      <c r="O546" s="62"/>
      <c r="P546" s="63"/>
      <c r="Q546" s="62"/>
      <c r="R546" s="63"/>
      <c r="S546" s="62"/>
      <c r="T546" s="63"/>
      <c r="U546" s="62"/>
      <c r="V546" s="63"/>
      <c r="W546" s="62"/>
      <c r="X546" s="117"/>
      <c r="Y546" s="173"/>
      <c r="Z546" s="65"/>
    </row>
    <row r="547" ht="14.25" customHeight="1">
      <c r="B547" s="113"/>
      <c r="D547" s="592"/>
      <c r="E547" s="592">
        <v>8.1</v>
      </c>
      <c r="F547" s="593" t="s">
        <v>1177</v>
      </c>
      <c r="G547" s="593"/>
      <c r="L547" s="61"/>
      <c r="M547" s="62"/>
      <c r="N547" s="63" t="s">
        <v>131</v>
      </c>
      <c r="O547" s="62"/>
      <c r="P547" s="63"/>
      <c r="Q547" s="62"/>
      <c r="R547" s="63"/>
      <c r="S547" s="62" t="s">
        <v>1225</v>
      </c>
      <c r="T547" s="63"/>
      <c r="U547" s="62"/>
      <c r="V547" s="63"/>
      <c r="W547" s="62"/>
      <c r="X547" s="117"/>
      <c r="Y547" s="173"/>
      <c r="Z547" s="65"/>
    </row>
    <row r="548" ht="14.25" customHeight="1">
      <c r="B548" s="113"/>
      <c r="D548" s="592"/>
      <c r="E548" s="592">
        <v>8.2</v>
      </c>
      <c r="F548" s="593" t="s">
        <v>1178</v>
      </c>
      <c r="G548" s="593"/>
      <c r="L548" s="61"/>
      <c r="M548" s="62"/>
      <c r="N548" s="63" t="s">
        <v>131</v>
      </c>
      <c r="O548" s="62"/>
      <c r="P548" s="63"/>
      <c r="Q548" s="62"/>
      <c r="R548" s="63"/>
      <c r="S548" s="62" t="s">
        <v>1225</v>
      </c>
      <c r="T548" s="63"/>
      <c r="U548" s="62"/>
      <c r="V548" s="63"/>
      <c r="W548" s="62"/>
      <c r="X548" s="117"/>
      <c r="Y548" s="173"/>
      <c r="Z548" s="65"/>
    </row>
    <row r="549" ht="14.25" customHeight="1">
      <c r="B549" s="113"/>
      <c r="D549" s="592"/>
      <c r="E549" s="592">
        <v>8.3</v>
      </c>
      <c r="F549" s="595" t="s">
        <v>1179</v>
      </c>
      <c r="G549" s="593"/>
      <c r="L549" s="61"/>
      <c r="M549" s="62"/>
      <c r="N549" s="63" t="s">
        <v>131</v>
      </c>
      <c r="O549" s="62"/>
      <c r="P549" s="63"/>
      <c r="Q549" s="62"/>
      <c r="R549" s="63"/>
      <c r="S549" s="62" t="s">
        <v>1225</v>
      </c>
      <c r="T549" s="63"/>
      <c r="U549" s="62"/>
      <c r="V549" s="63"/>
      <c r="W549" s="62"/>
      <c r="X549" s="117"/>
      <c r="Y549" s="173"/>
      <c r="Z549" s="65"/>
    </row>
    <row r="550" ht="15.75" customHeight="1">
      <c r="B550" s="243"/>
      <c r="C550" s="244"/>
      <c r="D550" s="245"/>
      <c r="E550" s="246">
        <v>8.4</v>
      </c>
      <c r="F550" s="598" t="s">
        <v>1180</v>
      </c>
      <c r="G550" s="247"/>
      <c r="H550" s="244"/>
      <c r="I550" s="244"/>
      <c r="J550" s="244"/>
      <c r="K550" s="244"/>
      <c r="L550" s="248"/>
      <c r="M550" s="249"/>
      <c r="N550" s="607" t="s">
        <v>131</v>
      </c>
      <c r="O550" s="249"/>
      <c r="P550" s="607"/>
      <c r="Q550" s="249"/>
      <c r="R550" s="607"/>
      <c r="S550" s="249" t="s">
        <v>1225</v>
      </c>
      <c r="T550" s="607"/>
      <c r="U550" s="249"/>
      <c r="V550" s="607"/>
      <c r="W550" s="249"/>
      <c r="X550" s="599"/>
      <c r="Y550" s="600"/>
      <c r="Z550" s="253"/>
    </row>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548">
    <mergeCell ref="X181:Y181"/>
    <mergeCell ref="X182:Y182"/>
    <mergeCell ref="X183:Y183"/>
    <mergeCell ref="X184:Y184"/>
    <mergeCell ref="X185:Y185"/>
    <mergeCell ref="X186:Y186"/>
    <mergeCell ref="X187:Y187"/>
    <mergeCell ref="X188:Y188"/>
    <mergeCell ref="X189:Y189"/>
    <mergeCell ref="X190:Y190"/>
    <mergeCell ref="X191:Y191"/>
    <mergeCell ref="X192:Y192"/>
    <mergeCell ref="X193:Y193"/>
    <mergeCell ref="X194:Y194"/>
    <mergeCell ref="X195:Y195"/>
    <mergeCell ref="X196:Y196"/>
    <mergeCell ref="X197:Y197"/>
    <mergeCell ref="X198:Y198"/>
    <mergeCell ref="X199:Y199"/>
    <mergeCell ref="X200:Y200"/>
    <mergeCell ref="X201:Y201"/>
    <mergeCell ref="X202:Y202"/>
    <mergeCell ref="X203:Y203"/>
    <mergeCell ref="X204:Y204"/>
    <mergeCell ref="X205:Y205"/>
    <mergeCell ref="X206:Y206"/>
    <mergeCell ref="X207:Y207"/>
    <mergeCell ref="X208:Y208"/>
    <mergeCell ref="X209:Y209"/>
    <mergeCell ref="X210:Y210"/>
    <mergeCell ref="X211:Y211"/>
    <mergeCell ref="X212:Y212"/>
    <mergeCell ref="X213:Y213"/>
    <mergeCell ref="X214:Y214"/>
    <mergeCell ref="X215:Y215"/>
    <mergeCell ref="X216:Y216"/>
    <mergeCell ref="X217:Y217"/>
    <mergeCell ref="X218:Y218"/>
    <mergeCell ref="X219:Y219"/>
    <mergeCell ref="X220:Y220"/>
    <mergeCell ref="X221:Y221"/>
    <mergeCell ref="X222:Y222"/>
    <mergeCell ref="X223:Y223"/>
    <mergeCell ref="X224:Y224"/>
    <mergeCell ref="X225:Y225"/>
    <mergeCell ref="X226:Y226"/>
    <mergeCell ref="X227:Y227"/>
    <mergeCell ref="X228:Y228"/>
    <mergeCell ref="X229:Y229"/>
    <mergeCell ref="X230:Y230"/>
    <mergeCell ref="X231:Y231"/>
    <mergeCell ref="X232:Y232"/>
    <mergeCell ref="X233:Y233"/>
    <mergeCell ref="X234:Y234"/>
    <mergeCell ref="X235:Y235"/>
    <mergeCell ref="X236:Y236"/>
    <mergeCell ref="X237:Y237"/>
    <mergeCell ref="X238:Y238"/>
    <mergeCell ref="X239:Y239"/>
    <mergeCell ref="R240:R245"/>
    <mergeCell ref="X240:Y240"/>
    <mergeCell ref="X241:Y241"/>
    <mergeCell ref="X242:Y242"/>
    <mergeCell ref="X245:Y245"/>
    <mergeCell ref="X243:Y243"/>
    <mergeCell ref="X244:Y244"/>
    <mergeCell ref="X246:Y246"/>
    <mergeCell ref="X247:Y247"/>
    <mergeCell ref="X248:Y248"/>
    <mergeCell ref="X249:Y249"/>
    <mergeCell ref="X250:Y250"/>
    <mergeCell ref="X251:Y251"/>
    <mergeCell ref="X252:Y252"/>
    <mergeCell ref="X253:Y253"/>
    <mergeCell ref="X254:Y254"/>
    <mergeCell ref="X257:Y257"/>
    <mergeCell ref="X258:Y258"/>
    <mergeCell ref="X259:Y259"/>
    <mergeCell ref="X260:Y260"/>
    <mergeCell ref="X261:Y261"/>
    <mergeCell ref="X262:Y262"/>
    <mergeCell ref="X263:Y263"/>
    <mergeCell ref="X264:Y264"/>
    <mergeCell ref="X265:Y265"/>
    <mergeCell ref="X269:Y269"/>
    <mergeCell ref="X270:Y270"/>
    <mergeCell ref="X271:Y271"/>
    <mergeCell ref="X272:Y272"/>
    <mergeCell ref="X273:Y273"/>
    <mergeCell ref="X274:Y274"/>
    <mergeCell ref="X275:Y275"/>
    <mergeCell ref="X276:Y276"/>
    <mergeCell ref="X277:Y277"/>
    <mergeCell ref="X278:Y278"/>
    <mergeCell ref="X283:Y283"/>
    <mergeCell ref="X284:Y284"/>
    <mergeCell ref="X285:Y285"/>
    <mergeCell ref="X286:Y286"/>
    <mergeCell ref="X287:Y287"/>
    <mergeCell ref="X288:Y288"/>
    <mergeCell ref="X289:Y289"/>
    <mergeCell ref="X290:Y290"/>
    <mergeCell ref="X291:Y291"/>
    <mergeCell ref="X292:Y292"/>
    <mergeCell ref="X293:Y293"/>
    <mergeCell ref="X294:Y294"/>
    <mergeCell ref="X295:Y295"/>
    <mergeCell ref="X296:Y296"/>
    <mergeCell ref="X297:Y297"/>
    <mergeCell ref="X298:Y298"/>
    <mergeCell ref="X299:Y299"/>
    <mergeCell ref="X300:Y300"/>
    <mergeCell ref="X301:Y301"/>
    <mergeCell ref="X302:Y302"/>
    <mergeCell ref="X303:Y303"/>
    <mergeCell ref="X304:Y304"/>
    <mergeCell ref="X312:Y312"/>
    <mergeCell ref="X313:Y313"/>
    <mergeCell ref="X314:Y314"/>
    <mergeCell ref="X315:Y315"/>
    <mergeCell ref="X316:Y316"/>
    <mergeCell ref="X317:Y317"/>
    <mergeCell ref="X318:Y318"/>
    <mergeCell ref="X319:Y319"/>
    <mergeCell ref="X320:Y320"/>
    <mergeCell ref="X321:Y321"/>
    <mergeCell ref="X322:Y322"/>
    <mergeCell ref="X323:Y323"/>
    <mergeCell ref="X324:Y324"/>
    <mergeCell ref="X325:Y325"/>
    <mergeCell ref="X326:Y326"/>
    <mergeCell ref="X327:Y327"/>
    <mergeCell ref="X328:Y328"/>
    <mergeCell ref="X329:Y329"/>
    <mergeCell ref="X330:Y330"/>
    <mergeCell ref="X331:Y331"/>
    <mergeCell ref="X332:Y332"/>
    <mergeCell ref="X333:Y333"/>
    <mergeCell ref="X334:Y334"/>
    <mergeCell ref="X335:Y335"/>
    <mergeCell ref="X336:Y336"/>
    <mergeCell ref="X337:Y337"/>
    <mergeCell ref="X338:Y338"/>
    <mergeCell ref="X339:Y339"/>
    <mergeCell ref="X340:Y340"/>
    <mergeCell ref="X341:Y341"/>
    <mergeCell ref="X342:Y342"/>
    <mergeCell ref="X343:Y343"/>
    <mergeCell ref="X344:Y344"/>
    <mergeCell ref="X345:Y345"/>
    <mergeCell ref="X346:Y346"/>
    <mergeCell ref="X347:Y347"/>
    <mergeCell ref="X348:Y348"/>
    <mergeCell ref="X349:Y349"/>
    <mergeCell ref="X350:Y350"/>
    <mergeCell ref="X351:Y351"/>
    <mergeCell ref="X352:Y352"/>
    <mergeCell ref="X353:Y353"/>
    <mergeCell ref="X354:Y354"/>
    <mergeCell ref="X355:Y355"/>
    <mergeCell ref="X356:Y356"/>
    <mergeCell ref="X357:Y357"/>
    <mergeCell ref="X358:Y358"/>
    <mergeCell ref="X359:Y359"/>
    <mergeCell ref="X360:Y360"/>
    <mergeCell ref="X361:Y361"/>
    <mergeCell ref="X362:Y362"/>
    <mergeCell ref="X363:Y363"/>
    <mergeCell ref="X364:Y364"/>
    <mergeCell ref="X365:Y365"/>
    <mergeCell ref="X366:Y366"/>
    <mergeCell ref="X367:Y367"/>
    <mergeCell ref="X368:Y368"/>
    <mergeCell ref="X369:Y369"/>
    <mergeCell ref="X370:Y370"/>
    <mergeCell ref="X371:Y371"/>
    <mergeCell ref="X372:Y372"/>
    <mergeCell ref="X373:Y373"/>
    <mergeCell ref="X374:Y374"/>
    <mergeCell ref="X375:Y375"/>
    <mergeCell ref="X376:Y376"/>
    <mergeCell ref="X377:Y377"/>
    <mergeCell ref="X378:Y378"/>
    <mergeCell ref="X379:Y379"/>
    <mergeCell ref="X380:Y380"/>
    <mergeCell ref="X381:Y381"/>
    <mergeCell ref="X382:Y382"/>
    <mergeCell ref="X383:Y383"/>
    <mergeCell ref="X384:Y384"/>
    <mergeCell ref="X385:Y385"/>
    <mergeCell ref="X386:Y386"/>
    <mergeCell ref="X387:Y387"/>
    <mergeCell ref="X388:Y388"/>
    <mergeCell ref="X389:Y389"/>
    <mergeCell ref="X390:Y390"/>
    <mergeCell ref="X391:Y391"/>
    <mergeCell ref="X392:Y392"/>
    <mergeCell ref="X393:Y393"/>
    <mergeCell ref="X394:Y394"/>
    <mergeCell ref="X395:Y395"/>
    <mergeCell ref="X396:Y396"/>
    <mergeCell ref="X397:Y397"/>
    <mergeCell ref="X398:Y398"/>
    <mergeCell ref="X399:Y399"/>
    <mergeCell ref="X400:Y400"/>
    <mergeCell ref="X401:Y401"/>
    <mergeCell ref="X402:Y402"/>
    <mergeCell ref="X403:Y403"/>
    <mergeCell ref="X404:Y404"/>
    <mergeCell ref="X405:Y4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86:Y486"/>
    <mergeCell ref="X487:Y487"/>
    <mergeCell ref="X488:Y488"/>
    <mergeCell ref="X489:Y489"/>
    <mergeCell ref="X490:Y490"/>
    <mergeCell ref="X547:Y547"/>
    <mergeCell ref="X548:Y548"/>
    <mergeCell ref="X549:Y549"/>
    <mergeCell ref="X550:Y550"/>
    <mergeCell ref="X540:Y540"/>
    <mergeCell ref="X541:Y541"/>
    <mergeCell ref="X542:Y542"/>
    <mergeCell ref="X543:Y543"/>
    <mergeCell ref="X544:Y544"/>
    <mergeCell ref="X545:Y545"/>
    <mergeCell ref="X546:Y546"/>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37:Y537"/>
    <mergeCell ref="X538:Y538"/>
    <mergeCell ref="X539:Y539"/>
    <mergeCell ref="X10:Y14"/>
    <mergeCell ref="X15:Y15"/>
    <mergeCell ref="B9:E9"/>
    <mergeCell ref="B10:L14"/>
    <mergeCell ref="M10:M14"/>
    <mergeCell ref="N10:R11"/>
    <mergeCell ref="S10:W11"/>
    <mergeCell ref="Z10:Z14"/>
    <mergeCell ref="B15:L15"/>
    <mergeCell ref="X1:Z1"/>
    <mergeCell ref="A2:Z2"/>
    <mergeCell ref="A3:Z3"/>
    <mergeCell ref="I5:M5"/>
    <mergeCell ref="I6:M6"/>
    <mergeCell ref="I7:M7"/>
    <mergeCell ref="I8:M8"/>
    <mergeCell ref="N12:N14"/>
    <mergeCell ref="O12:O14"/>
    <mergeCell ref="P12:P14"/>
    <mergeCell ref="Q12:Q14"/>
    <mergeCell ref="R12:R14"/>
    <mergeCell ref="S12:S14"/>
    <mergeCell ref="T12:T14"/>
    <mergeCell ref="U12:U14"/>
    <mergeCell ref="B16:L16"/>
    <mergeCell ref="X16:Y16"/>
    <mergeCell ref="V12:V14"/>
    <mergeCell ref="W12:W14"/>
    <mergeCell ref="X17:Y17"/>
    <mergeCell ref="X18:Y18"/>
    <mergeCell ref="X19:Y19"/>
    <mergeCell ref="X20:Y20"/>
    <mergeCell ref="X21:Y21"/>
    <mergeCell ref="X22:Y22"/>
    <mergeCell ref="X23:Y23"/>
    <mergeCell ref="X24:Y24"/>
    <mergeCell ref="X25:Y25"/>
    <mergeCell ref="X26:Y26"/>
    <mergeCell ref="X27:Y27"/>
    <mergeCell ref="X28:Y28"/>
    <mergeCell ref="X29:Y29"/>
    <mergeCell ref="X30:Y30"/>
    <mergeCell ref="X31:Y31"/>
    <mergeCell ref="X32:Y32"/>
    <mergeCell ref="X33:Y33"/>
    <mergeCell ref="X34:Y34"/>
    <mergeCell ref="X35:Y35"/>
    <mergeCell ref="X36:Y36"/>
    <mergeCell ref="X37:Y37"/>
    <mergeCell ref="X38:Y38"/>
    <mergeCell ref="X39:Y39"/>
    <mergeCell ref="X40:Y40"/>
    <mergeCell ref="X41:Y41"/>
    <mergeCell ref="X42:Y42"/>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81:Y81"/>
    <mergeCell ref="X82:Y82"/>
    <mergeCell ref="X43:Y43"/>
    <mergeCell ref="X44:Y44"/>
    <mergeCell ref="R45:R84"/>
    <mergeCell ref="X45:Y45"/>
    <mergeCell ref="X46:Y46"/>
    <mergeCell ref="X47:Y47"/>
    <mergeCell ref="X48:Y48"/>
    <mergeCell ref="X83:Y83"/>
    <mergeCell ref="X84:Y84"/>
    <mergeCell ref="X85:Y85"/>
    <mergeCell ref="X86:Y86"/>
    <mergeCell ref="X87:Y87"/>
    <mergeCell ref="X88:Y88"/>
    <mergeCell ref="X89:Y89"/>
    <mergeCell ref="X90:Y90"/>
    <mergeCell ref="X91:Y91"/>
    <mergeCell ref="X92:Y92"/>
    <mergeCell ref="X93:Y93"/>
    <mergeCell ref="X94:Y94"/>
    <mergeCell ref="X95:Y95"/>
    <mergeCell ref="X96:Y96"/>
    <mergeCell ref="X97:Y97"/>
    <mergeCell ref="X98:Y98"/>
    <mergeCell ref="X99:Y99"/>
    <mergeCell ref="X100:Y100"/>
    <mergeCell ref="X101:Y101"/>
    <mergeCell ref="X102:Y102"/>
    <mergeCell ref="X103:Y103"/>
    <mergeCell ref="X104:Y104"/>
    <mergeCell ref="X105:Y105"/>
    <mergeCell ref="X106:Y106"/>
    <mergeCell ref="X107:Y107"/>
    <mergeCell ref="X108:Y108"/>
    <mergeCell ref="X109:Y109"/>
    <mergeCell ref="X110:Y110"/>
    <mergeCell ref="X111:Y111"/>
    <mergeCell ref="X112:Y112"/>
    <mergeCell ref="X113:Y113"/>
    <mergeCell ref="X114:Y114"/>
    <mergeCell ref="X115:Y115"/>
    <mergeCell ref="X116:Y116"/>
    <mergeCell ref="X117:Y117"/>
    <mergeCell ref="X118:Y118"/>
    <mergeCell ref="X119:Y119"/>
    <mergeCell ref="X120:Y120"/>
    <mergeCell ref="X121:Y121"/>
    <mergeCell ref="X122:Y122"/>
    <mergeCell ref="X123:Y123"/>
    <mergeCell ref="X124:Y124"/>
    <mergeCell ref="X125:Y125"/>
    <mergeCell ref="X126:Y126"/>
    <mergeCell ref="X127:Y127"/>
    <mergeCell ref="X128:Y128"/>
    <mergeCell ref="X129:Y129"/>
    <mergeCell ref="X130:Y130"/>
    <mergeCell ref="X131:Y131"/>
    <mergeCell ref="X132:Y132"/>
    <mergeCell ref="X133:Y133"/>
    <mergeCell ref="X134:Y134"/>
    <mergeCell ref="X135:Y135"/>
    <mergeCell ref="X136:Y136"/>
    <mergeCell ref="X137:Y137"/>
    <mergeCell ref="X138:Y138"/>
    <mergeCell ref="X139:Y139"/>
    <mergeCell ref="X140:Y140"/>
    <mergeCell ref="X141:Y141"/>
    <mergeCell ref="X142:Y142"/>
    <mergeCell ref="X143:Y143"/>
    <mergeCell ref="X144:Y144"/>
    <mergeCell ref="X145:Y145"/>
    <mergeCell ref="X146:Y146"/>
    <mergeCell ref="X147:Y147"/>
    <mergeCell ref="X148:Y148"/>
    <mergeCell ref="X149:Y149"/>
    <mergeCell ref="X150:Y150"/>
    <mergeCell ref="X151:Y151"/>
    <mergeCell ref="X152:Y152"/>
    <mergeCell ref="X153:Y153"/>
    <mergeCell ref="X154:Y154"/>
    <mergeCell ref="X155:Y155"/>
    <mergeCell ref="X156:Y156"/>
    <mergeCell ref="X157:Y157"/>
    <mergeCell ref="X158:Y158"/>
    <mergeCell ref="X159:Y159"/>
    <mergeCell ref="X160:Y160"/>
    <mergeCell ref="X161:Y161"/>
    <mergeCell ref="X162:Y162"/>
    <mergeCell ref="X163:Y163"/>
    <mergeCell ref="X164:Y164"/>
    <mergeCell ref="X165:Y165"/>
    <mergeCell ref="X166:Y166"/>
    <mergeCell ref="X167:Y167"/>
    <mergeCell ref="X168:Y168"/>
    <mergeCell ref="X169:Y169"/>
    <mergeCell ref="X170:Y170"/>
    <mergeCell ref="X171:Y171"/>
    <mergeCell ref="X172:Y172"/>
    <mergeCell ref="X173:Y173"/>
    <mergeCell ref="X174:Y174"/>
    <mergeCell ref="X175:Y175"/>
    <mergeCell ref="X176:Y176"/>
    <mergeCell ref="X177:Y177"/>
    <mergeCell ref="X178:Y178"/>
    <mergeCell ref="X179:Y179"/>
    <mergeCell ref="X180:Y180"/>
  </mergeCells>
  <printOptions/>
  <pageMargins bottom="0.75" footer="0.0" header="0.0" left="0.7" right="0.7" top="0.75"/>
  <pageSetup orientation="portrait"/>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4.43" defaultRowHeight="15.0"/>
  <cols>
    <col customWidth="1" hidden="1" min="1" max="1" width="9.14"/>
    <col customWidth="1" min="2" max="13" width="9.14"/>
    <col customWidth="1" min="14" max="14" width="14.71"/>
    <col customWidth="1" min="15" max="15" width="14.29"/>
    <col customWidth="1" min="16" max="16" width="15.0"/>
    <col customWidth="1" min="17" max="17" width="13.43"/>
    <col customWidth="1" min="18" max="18" width="18.86"/>
    <col customWidth="1" min="19" max="20" width="13.29"/>
    <col customWidth="1" min="21" max="21" width="16.29"/>
    <col customWidth="1" min="22" max="22" width="12.57"/>
    <col customWidth="1" min="23" max="23" width="20.57"/>
    <col customWidth="1" min="24" max="25" width="9.14"/>
    <col customWidth="1" min="26" max="26" width="13.43"/>
  </cols>
  <sheetData>
    <row r="1" ht="14.25" customHeight="1">
      <c r="A1" s="1"/>
      <c r="B1" s="1"/>
      <c r="C1" s="1"/>
      <c r="D1" s="1"/>
      <c r="E1" s="1"/>
      <c r="F1" s="1"/>
      <c r="G1" s="1"/>
      <c r="H1" s="1"/>
      <c r="I1" s="1"/>
      <c r="J1" s="1"/>
      <c r="K1" s="1"/>
      <c r="L1" s="1"/>
      <c r="M1" s="1"/>
      <c r="N1" s="1"/>
      <c r="O1" s="1"/>
      <c r="P1" s="1"/>
      <c r="Q1" s="1"/>
      <c r="R1" s="1"/>
      <c r="S1" s="1"/>
      <c r="T1" s="1"/>
      <c r="U1" s="1"/>
      <c r="V1" s="1"/>
      <c r="W1" s="1"/>
      <c r="X1" s="2" t="s">
        <v>0</v>
      </c>
      <c r="Y1" s="5"/>
      <c r="Z1" s="3"/>
    </row>
    <row r="2" ht="14.25" customHeight="1">
      <c r="A2" s="4" t="s">
        <v>1</v>
      </c>
      <c r="B2" s="5"/>
      <c r="C2" s="5"/>
      <c r="D2" s="5"/>
      <c r="E2" s="5"/>
      <c r="F2" s="5"/>
      <c r="G2" s="5"/>
      <c r="H2" s="5"/>
      <c r="I2" s="5"/>
      <c r="J2" s="5"/>
      <c r="K2" s="5"/>
      <c r="L2" s="5"/>
      <c r="M2" s="5"/>
      <c r="N2" s="5"/>
      <c r="O2" s="5"/>
      <c r="P2" s="5"/>
      <c r="Q2" s="5"/>
      <c r="R2" s="5"/>
      <c r="S2" s="5"/>
      <c r="T2" s="5"/>
      <c r="U2" s="5"/>
      <c r="V2" s="5"/>
      <c r="W2" s="5"/>
      <c r="X2" s="5"/>
      <c r="Y2" s="5"/>
      <c r="Z2" s="3"/>
    </row>
    <row r="3" ht="14.25" customHeight="1">
      <c r="A3" s="6" t="s">
        <v>1226</v>
      </c>
      <c r="B3" s="5"/>
      <c r="C3" s="5"/>
      <c r="D3" s="5"/>
      <c r="E3" s="5"/>
      <c r="F3" s="5"/>
      <c r="G3" s="5"/>
      <c r="H3" s="5"/>
      <c r="I3" s="5"/>
      <c r="J3" s="5"/>
      <c r="K3" s="5"/>
      <c r="L3" s="5"/>
      <c r="M3" s="5"/>
      <c r="N3" s="5"/>
      <c r="O3" s="5"/>
      <c r="P3" s="5"/>
      <c r="Q3" s="5"/>
      <c r="R3" s="5"/>
      <c r="S3" s="5"/>
      <c r="T3" s="5"/>
      <c r="U3" s="5"/>
      <c r="V3" s="5"/>
      <c r="W3" s="5"/>
      <c r="X3" s="5"/>
      <c r="Y3" s="5"/>
      <c r="Z3" s="3"/>
    </row>
    <row r="4" ht="14.25" customHeight="1">
      <c r="A4" s="7"/>
      <c r="B4" s="7"/>
      <c r="C4" s="7"/>
      <c r="D4" s="7"/>
      <c r="E4" s="7"/>
      <c r="F4" s="7"/>
      <c r="G4" s="7"/>
      <c r="H4" s="7"/>
      <c r="I4" s="7"/>
      <c r="J4" s="7"/>
      <c r="K4" s="7"/>
      <c r="L4" s="7"/>
      <c r="M4" s="7"/>
      <c r="N4" s="7"/>
      <c r="O4" s="7"/>
      <c r="P4" s="7"/>
      <c r="Q4" s="7"/>
      <c r="R4" s="7"/>
      <c r="S4" s="7"/>
      <c r="T4" s="7"/>
      <c r="U4" s="7"/>
      <c r="V4" s="7"/>
      <c r="W4" s="7"/>
      <c r="X4" s="7"/>
      <c r="Y4" s="7"/>
      <c r="Z4" s="8"/>
    </row>
    <row r="5" ht="14.25" customHeight="1">
      <c r="A5" s="1"/>
      <c r="B5" s="9" t="s">
        <v>3</v>
      </c>
      <c r="C5" s="9"/>
      <c r="D5" s="9"/>
      <c r="E5" s="10"/>
      <c r="F5" s="10"/>
      <c r="G5" s="10"/>
      <c r="H5" s="11" t="s">
        <v>4</v>
      </c>
      <c r="I5" s="12" t="s">
        <v>5</v>
      </c>
      <c r="J5" s="5"/>
      <c r="K5" s="5"/>
      <c r="L5" s="5"/>
      <c r="M5" s="3"/>
      <c r="N5" s="13"/>
      <c r="O5" s="13"/>
      <c r="P5" s="13"/>
      <c r="Q5" s="13"/>
      <c r="R5" s="13"/>
      <c r="S5" s="13"/>
      <c r="T5" s="13"/>
      <c r="U5" s="14"/>
      <c r="V5" s="14"/>
      <c r="W5" s="15"/>
      <c r="X5" s="16" t="s">
        <v>6</v>
      </c>
      <c r="Y5" s="16"/>
      <c r="Z5" s="17"/>
    </row>
    <row r="6" ht="14.25" customHeight="1">
      <c r="A6" s="1"/>
      <c r="B6" s="9" t="s">
        <v>7</v>
      </c>
      <c r="C6" s="9"/>
      <c r="D6" s="9"/>
      <c r="E6" s="10"/>
      <c r="F6" s="10"/>
      <c r="G6" s="10"/>
      <c r="H6" s="11" t="s">
        <v>4</v>
      </c>
      <c r="I6" s="12"/>
      <c r="J6" s="5"/>
      <c r="K6" s="5"/>
      <c r="L6" s="5"/>
      <c r="M6" s="3"/>
      <c r="N6" s="13"/>
      <c r="O6" s="13"/>
      <c r="P6" s="13"/>
      <c r="Q6" s="13"/>
      <c r="R6" s="13"/>
      <c r="S6" s="13"/>
      <c r="T6" s="13"/>
      <c r="U6" s="14"/>
      <c r="V6" s="14"/>
      <c r="W6" s="18"/>
      <c r="X6" s="16" t="s">
        <v>8</v>
      </c>
      <c r="Y6" s="16"/>
      <c r="Z6" s="17"/>
    </row>
    <row r="7" ht="14.25" customHeight="1">
      <c r="A7" s="1"/>
      <c r="B7" s="9" t="s">
        <v>9</v>
      </c>
      <c r="C7" s="9"/>
      <c r="D7" s="9"/>
      <c r="E7" s="10"/>
      <c r="F7" s="10"/>
      <c r="G7" s="10"/>
      <c r="H7" s="11" t="s">
        <v>4</v>
      </c>
      <c r="I7" s="12"/>
      <c r="J7" s="5"/>
      <c r="K7" s="5"/>
      <c r="L7" s="5"/>
      <c r="M7" s="3"/>
      <c r="N7" s="13"/>
      <c r="O7" s="13"/>
      <c r="P7" s="13"/>
      <c r="Q7" s="13"/>
      <c r="R7" s="13"/>
      <c r="S7" s="14"/>
      <c r="T7" s="14"/>
      <c r="U7" s="14"/>
      <c r="V7" s="1"/>
      <c r="W7" s="18"/>
      <c r="X7" s="16" t="s">
        <v>10</v>
      </c>
      <c r="Y7" s="16"/>
      <c r="Z7" s="17"/>
    </row>
    <row r="8" ht="14.25" customHeight="1">
      <c r="A8" s="1"/>
      <c r="B8" s="9" t="s">
        <v>11</v>
      </c>
      <c r="C8" s="9"/>
      <c r="D8" s="9"/>
      <c r="E8" s="10"/>
      <c r="F8" s="10"/>
      <c r="G8" s="10"/>
      <c r="H8" s="11" t="s">
        <v>4</v>
      </c>
      <c r="I8" s="12"/>
      <c r="J8" s="5"/>
      <c r="K8" s="5"/>
      <c r="L8" s="5"/>
      <c r="M8" s="3"/>
      <c r="N8" s="13"/>
      <c r="O8" s="13"/>
      <c r="P8" s="13"/>
      <c r="Q8" s="13"/>
      <c r="R8" s="13"/>
      <c r="S8" s="14"/>
      <c r="T8" s="14"/>
      <c r="U8" s="14"/>
      <c r="V8" s="1"/>
      <c r="W8" s="18"/>
      <c r="X8" s="16" t="s">
        <v>12</v>
      </c>
      <c r="Y8" s="16"/>
      <c r="Z8" s="17"/>
    </row>
    <row r="9" ht="14.25" customHeight="1">
      <c r="A9" s="1"/>
      <c r="B9" s="19"/>
      <c r="C9" s="5"/>
      <c r="D9" s="5"/>
      <c r="E9" s="3"/>
      <c r="F9" s="17"/>
      <c r="G9" s="17"/>
      <c r="H9" s="17"/>
      <c r="I9" s="17"/>
      <c r="J9" s="17"/>
      <c r="K9" s="1"/>
      <c r="L9" s="1"/>
      <c r="M9" s="1"/>
      <c r="N9" s="1"/>
      <c r="O9" s="1"/>
      <c r="P9" s="1"/>
      <c r="Q9" s="1"/>
      <c r="R9" s="1"/>
      <c r="S9" s="1"/>
      <c r="T9" s="1"/>
      <c r="U9" s="14"/>
      <c r="V9" s="1"/>
      <c r="W9" s="14"/>
      <c r="X9" s="1"/>
      <c r="Y9" s="17"/>
      <c r="Z9" s="1"/>
    </row>
    <row r="10" ht="15.75" customHeight="1">
      <c r="A10" s="1"/>
      <c r="B10" s="20" t="s">
        <v>13</v>
      </c>
      <c r="C10" s="21"/>
      <c r="D10" s="21"/>
      <c r="E10" s="21"/>
      <c r="F10" s="21"/>
      <c r="G10" s="21"/>
      <c r="H10" s="21"/>
      <c r="I10" s="21"/>
      <c r="J10" s="21"/>
      <c r="K10" s="21"/>
      <c r="L10" s="22"/>
      <c r="M10" s="39" t="s">
        <v>14</v>
      </c>
      <c r="N10" s="613" t="s">
        <v>15</v>
      </c>
      <c r="O10" s="21"/>
      <c r="P10" s="21"/>
      <c r="Q10" s="21"/>
      <c r="R10" s="22"/>
      <c r="S10" s="24" t="s">
        <v>16</v>
      </c>
      <c r="T10" s="21"/>
      <c r="U10" s="21"/>
      <c r="V10" s="21"/>
      <c r="W10" s="25"/>
      <c r="X10" s="20" t="s">
        <v>1182</v>
      </c>
      <c r="Y10" s="22"/>
      <c r="Z10" s="27" t="s">
        <v>18</v>
      </c>
    </row>
    <row r="11" ht="14.25" customHeight="1">
      <c r="A11" s="1"/>
      <c r="B11" s="28"/>
      <c r="L11" s="29"/>
      <c r="M11" s="40"/>
      <c r="N11" s="614"/>
      <c r="O11" s="32"/>
      <c r="P11" s="32"/>
      <c r="Q11" s="32"/>
      <c r="R11" s="33"/>
      <c r="S11" s="34"/>
      <c r="T11" s="35"/>
      <c r="U11" s="35"/>
      <c r="V11" s="35"/>
      <c r="W11" s="36"/>
      <c r="X11" s="28"/>
      <c r="Y11" s="29"/>
      <c r="Z11" s="38"/>
    </row>
    <row r="12" ht="15.75" customHeight="1">
      <c r="A12" s="1"/>
      <c r="B12" s="28"/>
      <c r="L12" s="29"/>
      <c r="M12" s="40"/>
      <c r="N12" s="39" t="s">
        <v>19</v>
      </c>
      <c r="O12" s="39" t="s">
        <v>20</v>
      </c>
      <c r="P12" s="39" t="s">
        <v>21</v>
      </c>
      <c r="Q12" s="39" t="s">
        <v>22</v>
      </c>
      <c r="R12" s="39" t="s">
        <v>23</v>
      </c>
      <c r="S12" s="39" t="s">
        <v>19</v>
      </c>
      <c r="T12" s="39" t="s">
        <v>20</v>
      </c>
      <c r="U12" s="39" t="s">
        <v>21</v>
      </c>
      <c r="V12" s="39" t="s">
        <v>22</v>
      </c>
      <c r="W12" s="39" t="s">
        <v>23</v>
      </c>
      <c r="X12" s="28"/>
      <c r="Y12" s="29"/>
      <c r="Z12" s="38"/>
    </row>
    <row r="13" ht="14.25" customHeight="1">
      <c r="A13" s="1"/>
      <c r="B13" s="28"/>
      <c r="L13" s="29"/>
      <c r="M13" s="40"/>
      <c r="N13" s="40"/>
      <c r="O13" s="40"/>
      <c r="P13" s="40"/>
      <c r="Q13" s="40"/>
      <c r="R13" s="40"/>
      <c r="S13" s="40"/>
      <c r="T13" s="40"/>
      <c r="U13" s="40"/>
      <c r="V13" s="40"/>
      <c r="W13" s="40"/>
      <c r="X13" s="28"/>
      <c r="Y13" s="29"/>
      <c r="Z13" s="38"/>
    </row>
    <row r="14" ht="14.25" customHeight="1">
      <c r="A14" s="1"/>
      <c r="B14" s="615"/>
      <c r="C14" s="35"/>
      <c r="D14" s="35"/>
      <c r="E14" s="35"/>
      <c r="F14" s="35"/>
      <c r="G14" s="35"/>
      <c r="H14" s="35"/>
      <c r="I14" s="35"/>
      <c r="J14" s="35"/>
      <c r="K14" s="35"/>
      <c r="L14" s="616"/>
      <c r="M14" s="42"/>
      <c r="N14" s="42"/>
      <c r="O14" s="42"/>
      <c r="P14" s="42"/>
      <c r="Q14" s="42"/>
      <c r="R14" s="42"/>
      <c r="S14" s="42"/>
      <c r="T14" s="42"/>
      <c r="U14" s="42"/>
      <c r="V14" s="42"/>
      <c r="W14" s="42"/>
      <c r="X14" s="31"/>
      <c r="Y14" s="33"/>
      <c r="Z14" s="44"/>
    </row>
    <row r="15" ht="14.25" customHeight="1">
      <c r="A15" s="1"/>
      <c r="B15" s="45">
        <v>1.0</v>
      </c>
      <c r="C15" s="5"/>
      <c r="D15" s="5"/>
      <c r="E15" s="5"/>
      <c r="F15" s="5"/>
      <c r="G15" s="5"/>
      <c r="H15" s="5"/>
      <c r="I15" s="5"/>
      <c r="J15" s="5"/>
      <c r="K15" s="5"/>
      <c r="L15" s="46"/>
      <c r="M15" s="48">
        <v>2.0</v>
      </c>
      <c r="N15" s="48">
        <v>3.0</v>
      </c>
      <c r="O15" s="48">
        <v>4.0</v>
      </c>
      <c r="P15" s="49">
        <v>5.0</v>
      </c>
      <c r="Q15" s="49">
        <v>6.0</v>
      </c>
      <c r="R15" s="51" t="s">
        <v>24</v>
      </c>
      <c r="S15" s="51">
        <v>8.0</v>
      </c>
      <c r="T15" s="51">
        <v>9.0</v>
      </c>
      <c r="U15" s="51">
        <v>10.0</v>
      </c>
      <c r="V15" s="51">
        <v>11.0</v>
      </c>
      <c r="W15" s="51" t="s">
        <v>25</v>
      </c>
      <c r="X15" s="543">
        <v>13.0</v>
      </c>
      <c r="Y15" s="544"/>
      <c r="Z15" s="617">
        <v>14.0</v>
      </c>
    </row>
    <row r="16" ht="14.25" customHeight="1">
      <c r="B16" s="55"/>
      <c r="L16" s="29"/>
      <c r="M16" s="57"/>
      <c r="N16" s="57"/>
      <c r="O16" s="57"/>
      <c r="P16" s="57"/>
      <c r="Q16" s="57"/>
      <c r="R16" s="57"/>
      <c r="S16" s="57"/>
      <c r="T16" s="57"/>
      <c r="U16" s="57"/>
      <c r="V16" s="57"/>
      <c r="W16" s="57"/>
      <c r="X16" s="545"/>
      <c r="Y16" s="224"/>
      <c r="Z16" s="57"/>
    </row>
    <row r="17" ht="14.25" customHeight="1">
      <c r="B17" s="60" t="s">
        <v>1227</v>
      </c>
      <c r="L17" s="61"/>
      <c r="M17" s="63"/>
      <c r="N17" s="63"/>
      <c r="O17" s="63"/>
      <c r="P17" s="63"/>
      <c r="Q17" s="63"/>
      <c r="R17" s="63"/>
      <c r="S17" s="63"/>
      <c r="T17" s="63"/>
      <c r="U17" s="63"/>
      <c r="V17" s="63"/>
      <c r="W17" s="63"/>
      <c r="X17" s="117"/>
      <c r="Y17" s="173"/>
      <c r="Z17" s="63"/>
    </row>
    <row r="18" ht="14.25" customHeight="1">
      <c r="B18" s="113"/>
      <c r="L18" s="61"/>
      <c r="M18" s="63"/>
      <c r="N18" s="63"/>
      <c r="O18" s="63"/>
      <c r="P18" s="63"/>
      <c r="Q18" s="63"/>
      <c r="R18" s="63"/>
      <c r="S18" s="63"/>
      <c r="T18" s="63"/>
      <c r="U18" s="63"/>
      <c r="V18" s="63"/>
      <c r="W18" s="63"/>
      <c r="X18" s="117"/>
      <c r="Y18" s="173"/>
      <c r="Z18" s="63"/>
    </row>
    <row r="19" ht="15.0" customHeight="1">
      <c r="B19" s="69" t="s">
        <v>866</v>
      </c>
      <c r="C19" s="70" t="s">
        <v>1228</v>
      </c>
      <c r="L19" s="61"/>
      <c r="M19" s="63"/>
      <c r="N19" s="71"/>
      <c r="O19" s="71"/>
      <c r="P19" s="71"/>
      <c r="Q19" s="71"/>
      <c r="R19" s="63"/>
      <c r="S19" s="71"/>
      <c r="T19" s="71"/>
      <c r="U19" s="71"/>
      <c r="V19" s="71"/>
      <c r="W19" s="63"/>
      <c r="X19" s="117"/>
      <c r="Y19" s="173"/>
      <c r="Z19" s="63"/>
    </row>
    <row r="20" ht="14.25" customHeight="1">
      <c r="B20" s="547"/>
      <c r="C20" s="75"/>
      <c r="D20" s="118" t="s">
        <v>845</v>
      </c>
      <c r="E20" s="118" t="s">
        <v>1229</v>
      </c>
      <c r="L20" s="61"/>
      <c r="M20" s="63"/>
      <c r="N20" s="71"/>
      <c r="O20" s="71"/>
      <c r="P20" s="71"/>
      <c r="Q20" s="71"/>
      <c r="R20" s="63"/>
      <c r="S20" s="71">
        <v>1.0</v>
      </c>
      <c r="T20" s="71"/>
      <c r="U20" s="71"/>
      <c r="V20" s="71"/>
      <c r="W20" s="63"/>
      <c r="X20" s="117"/>
      <c r="Y20" s="173"/>
      <c r="Z20" s="63"/>
    </row>
    <row r="21" ht="15.0" customHeight="1">
      <c r="B21" s="69"/>
      <c r="C21" s="70"/>
      <c r="D21" s="118" t="s">
        <v>847</v>
      </c>
      <c r="E21" s="118" t="s">
        <v>1230</v>
      </c>
      <c r="L21" s="61"/>
      <c r="M21" s="63"/>
      <c r="N21" s="71"/>
      <c r="O21" s="71"/>
      <c r="P21" s="71"/>
      <c r="Q21" s="71"/>
      <c r="R21" s="63"/>
      <c r="S21" s="71">
        <v>80.0</v>
      </c>
      <c r="T21" s="71"/>
      <c r="U21" s="71"/>
      <c r="V21" s="71">
        <v>93.0</v>
      </c>
      <c r="W21" s="63"/>
      <c r="X21" s="117"/>
      <c r="Y21" s="173"/>
      <c r="Z21" s="63"/>
    </row>
    <row r="22" ht="14.25" customHeight="1">
      <c r="B22" s="547"/>
      <c r="C22" s="75"/>
      <c r="L22" s="61"/>
      <c r="M22" s="63"/>
      <c r="N22" s="71"/>
      <c r="O22" s="71"/>
      <c r="P22" s="71"/>
      <c r="Q22" s="71"/>
      <c r="R22" s="63"/>
      <c r="S22" s="71"/>
      <c r="T22" s="71"/>
      <c r="U22" s="71"/>
      <c r="V22" s="71"/>
      <c r="W22" s="63"/>
      <c r="X22" s="117"/>
      <c r="Y22" s="173"/>
      <c r="Z22" s="63"/>
    </row>
    <row r="23" ht="14.25" customHeight="1">
      <c r="B23" s="69" t="s">
        <v>906</v>
      </c>
      <c r="C23" s="77" t="s">
        <v>1231</v>
      </c>
      <c r="L23" s="61"/>
      <c r="M23" s="63"/>
      <c r="N23" s="603"/>
      <c r="O23" s="603"/>
      <c r="P23" s="603"/>
      <c r="Q23" s="603"/>
      <c r="R23" s="63"/>
      <c r="S23" s="603"/>
      <c r="T23" s="603"/>
      <c r="U23" s="603"/>
      <c r="V23" s="603"/>
      <c r="W23" s="63"/>
      <c r="X23" s="117"/>
      <c r="Y23" s="173"/>
      <c r="Z23" s="63"/>
    </row>
    <row r="24" ht="14.25" customHeight="1">
      <c r="B24" s="84"/>
      <c r="C24" s="548" t="s">
        <v>1134</v>
      </c>
      <c r="D24" s="118" t="s">
        <v>1232</v>
      </c>
      <c r="L24" s="61"/>
      <c r="M24" s="63"/>
      <c r="N24" s="552"/>
      <c r="O24" s="552"/>
      <c r="P24" s="552"/>
      <c r="Q24" s="552"/>
      <c r="R24" s="63"/>
      <c r="S24" s="552"/>
      <c r="T24" s="552"/>
      <c r="U24" s="552"/>
      <c r="V24" s="552"/>
      <c r="W24" s="63"/>
      <c r="X24" s="117"/>
      <c r="Y24" s="173"/>
      <c r="Z24" s="63"/>
    </row>
    <row r="25" ht="14.25" customHeight="1">
      <c r="B25" s="69"/>
      <c r="C25" s="70"/>
      <c r="D25" s="118" t="s">
        <v>845</v>
      </c>
      <c r="E25" s="118" t="s">
        <v>1233</v>
      </c>
      <c r="L25" s="61"/>
      <c r="M25" s="63"/>
      <c r="N25" s="603">
        <v>1.0</v>
      </c>
      <c r="O25" s="603"/>
      <c r="P25" s="603"/>
      <c r="Q25" s="603"/>
      <c r="R25" s="63"/>
      <c r="S25" s="603"/>
      <c r="T25" s="603">
        <v>1.0</v>
      </c>
      <c r="U25" s="603"/>
      <c r="V25" s="603">
        <v>1.0</v>
      </c>
      <c r="W25" s="63"/>
      <c r="X25" s="117"/>
      <c r="Y25" s="173"/>
      <c r="Z25" s="63"/>
    </row>
    <row r="26" ht="14.25" customHeight="1">
      <c r="B26" s="69"/>
      <c r="C26" s="70"/>
      <c r="D26" s="118" t="s">
        <v>847</v>
      </c>
      <c r="E26" s="118" t="s">
        <v>1234</v>
      </c>
      <c r="L26" s="61"/>
      <c r="M26" s="63"/>
      <c r="N26" s="552">
        <v>1.0</v>
      </c>
      <c r="O26" s="552"/>
      <c r="P26" s="552"/>
      <c r="Q26" s="552"/>
      <c r="R26" s="63"/>
      <c r="S26" s="552"/>
      <c r="T26" s="552">
        <v>1.0</v>
      </c>
      <c r="U26" s="552"/>
      <c r="V26" s="552">
        <v>1.0</v>
      </c>
      <c r="W26" s="63"/>
      <c r="X26" s="117"/>
      <c r="Y26" s="173"/>
      <c r="Z26" s="63"/>
    </row>
    <row r="27" ht="14.25" customHeight="1">
      <c r="B27" s="550"/>
      <c r="C27" s="70"/>
      <c r="D27" s="118" t="s">
        <v>849</v>
      </c>
      <c r="E27" s="118" t="s">
        <v>1235</v>
      </c>
      <c r="L27" s="61"/>
      <c r="M27" s="63"/>
      <c r="N27" s="552">
        <v>1.0</v>
      </c>
      <c r="O27" s="552"/>
      <c r="P27" s="552"/>
      <c r="Q27" s="552"/>
      <c r="R27" s="63"/>
      <c r="S27" s="552"/>
      <c r="T27" s="552">
        <v>1.0</v>
      </c>
      <c r="U27" s="552"/>
      <c r="V27" s="552">
        <v>1.0</v>
      </c>
      <c r="W27" s="63"/>
      <c r="X27" s="117"/>
      <c r="Y27" s="173"/>
      <c r="Z27" s="63"/>
    </row>
    <row r="28" ht="14.25" customHeight="1">
      <c r="B28" s="550"/>
      <c r="C28" s="70"/>
      <c r="D28" s="118" t="s">
        <v>858</v>
      </c>
      <c r="E28" s="118" t="s">
        <v>1236</v>
      </c>
      <c r="L28" s="61"/>
      <c r="M28" s="63"/>
      <c r="N28" s="552">
        <v>1.0</v>
      </c>
      <c r="O28" s="552"/>
      <c r="P28" s="552"/>
      <c r="Q28" s="552"/>
      <c r="R28" s="63"/>
      <c r="S28" s="552"/>
      <c r="T28" s="552">
        <v>1.0</v>
      </c>
      <c r="U28" s="552"/>
      <c r="V28" s="552">
        <v>1.0</v>
      </c>
      <c r="W28" s="63"/>
      <c r="X28" s="117"/>
      <c r="Y28" s="173"/>
      <c r="Z28" s="63"/>
    </row>
    <row r="29" ht="14.25" customHeight="1">
      <c r="B29" s="550"/>
      <c r="C29" s="70"/>
      <c r="D29" s="118" t="s">
        <v>860</v>
      </c>
      <c r="E29" s="118" t="s">
        <v>1237</v>
      </c>
      <c r="L29" s="61"/>
      <c r="M29" s="63"/>
      <c r="N29" s="552">
        <v>1.0</v>
      </c>
      <c r="O29" s="552"/>
      <c r="P29" s="552"/>
      <c r="Q29" s="552"/>
      <c r="R29" s="63"/>
      <c r="S29" s="552"/>
      <c r="T29" s="552"/>
      <c r="U29" s="552"/>
      <c r="V29" s="552"/>
      <c r="W29" s="63"/>
      <c r="X29" s="117"/>
      <c r="Y29" s="173"/>
      <c r="Z29" s="63"/>
    </row>
    <row r="30" ht="14.25" customHeight="1">
      <c r="B30" s="550"/>
      <c r="C30" s="70"/>
      <c r="D30" s="118" t="s">
        <v>862</v>
      </c>
      <c r="E30" s="118" t="s">
        <v>1238</v>
      </c>
      <c r="L30" s="61"/>
      <c r="M30" s="63"/>
      <c r="N30" s="552">
        <v>1.0</v>
      </c>
      <c r="O30" s="552"/>
      <c r="P30" s="552"/>
      <c r="Q30" s="552"/>
      <c r="R30" s="63"/>
      <c r="S30" s="85"/>
      <c r="T30" s="552"/>
      <c r="U30" s="552"/>
      <c r="V30" s="552"/>
      <c r="W30" s="63"/>
      <c r="X30" s="117"/>
      <c r="Y30" s="173"/>
      <c r="Z30" s="63"/>
    </row>
    <row r="31" ht="14.25" customHeight="1">
      <c r="B31" s="113"/>
      <c r="C31" s="118" t="s">
        <v>1136</v>
      </c>
      <c r="D31" s="118" t="s">
        <v>1239</v>
      </c>
      <c r="L31" s="61"/>
      <c r="M31" s="63"/>
      <c r="N31" s="63"/>
      <c r="O31" s="63"/>
      <c r="P31" s="63"/>
      <c r="Q31" s="63"/>
      <c r="R31" s="63"/>
      <c r="S31" s="63"/>
      <c r="T31" s="63"/>
      <c r="U31" s="63"/>
      <c r="V31" s="63"/>
      <c r="W31" s="63"/>
      <c r="X31" s="117"/>
      <c r="Y31" s="173"/>
      <c r="Z31" s="63"/>
    </row>
    <row r="32" ht="14.25" customHeight="1">
      <c r="B32" s="60"/>
      <c r="D32" s="118" t="s">
        <v>845</v>
      </c>
      <c r="E32" s="118" t="s">
        <v>1240</v>
      </c>
      <c r="L32" s="61"/>
      <c r="M32" s="63"/>
      <c r="N32" s="63">
        <v>1.0</v>
      </c>
      <c r="O32" s="63"/>
      <c r="P32" s="63"/>
      <c r="Q32" s="63"/>
      <c r="R32" s="63"/>
      <c r="S32" s="63"/>
      <c r="T32" s="63">
        <v>1.0</v>
      </c>
      <c r="U32" s="63"/>
      <c r="V32" s="63">
        <v>1.0</v>
      </c>
      <c r="W32" s="63"/>
      <c r="X32" s="117"/>
      <c r="Y32" s="173"/>
      <c r="Z32" s="63"/>
    </row>
    <row r="33" ht="14.25" customHeight="1">
      <c r="B33" s="113"/>
      <c r="D33" s="118" t="s">
        <v>847</v>
      </c>
      <c r="E33" s="118" t="s">
        <v>1241</v>
      </c>
      <c r="L33" s="61"/>
      <c r="M33" s="63"/>
      <c r="N33" s="63">
        <v>1.0</v>
      </c>
      <c r="O33" s="63"/>
      <c r="P33" s="63"/>
      <c r="Q33" s="63"/>
      <c r="R33" s="63"/>
      <c r="S33" s="63"/>
      <c r="T33" s="63">
        <v>1.0</v>
      </c>
      <c r="U33" s="63"/>
      <c r="V33" s="63">
        <v>1.0</v>
      </c>
      <c r="W33" s="63"/>
      <c r="X33" s="117"/>
      <c r="Y33" s="173"/>
      <c r="Z33" s="63"/>
    </row>
    <row r="34" ht="14.25" customHeight="1">
      <c r="B34" s="69"/>
      <c r="C34" s="70"/>
      <c r="L34" s="61"/>
      <c r="M34" s="63"/>
      <c r="N34" s="552"/>
      <c r="O34" s="63"/>
      <c r="P34" s="552"/>
      <c r="Q34" s="552"/>
      <c r="R34" s="63"/>
      <c r="S34" s="552"/>
      <c r="T34" s="552"/>
      <c r="U34" s="552"/>
      <c r="V34" s="552"/>
      <c r="W34" s="63"/>
      <c r="X34" s="117"/>
      <c r="Y34" s="173"/>
      <c r="Z34" s="63"/>
    </row>
    <row r="35" ht="14.25" customHeight="1">
      <c r="B35" s="100" t="s">
        <v>924</v>
      </c>
      <c r="C35" s="70" t="s">
        <v>1242</v>
      </c>
      <c r="L35" s="61"/>
      <c r="M35" s="63"/>
      <c r="N35" s="552"/>
      <c r="O35" s="63"/>
      <c r="P35" s="552"/>
      <c r="Q35" s="552"/>
      <c r="R35" s="63"/>
      <c r="S35" s="552"/>
      <c r="T35" s="552"/>
      <c r="U35" s="552"/>
      <c r="V35" s="552"/>
      <c r="W35" s="63"/>
      <c r="X35" s="117"/>
      <c r="Y35" s="173"/>
      <c r="Z35" s="63"/>
    </row>
    <row r="36" ht="14.25" customHeight="1">
      <c r="B36" s="69"/>
      <c r="C36" s="70">
        <v>3.1</v>
      </c>
      <c r="D36" s="118" t="s">
        <v>1243</v>
      </c>
      <c r="L36" s="61"/>
      <c r="M36" s="63"/>
      <c r="N36" s="603">
        <v>0.0</v>
      </c>
      <c r="O36" s="63"/>
      <c r="P36" s="603"/>
      <c r="Q36" s="603"/>
      <c r="R36" s="63"/>
      <c r="S36" s="603"/>
      <c r="T36" s="603"/>
      <c r="U36" s="603"/>
      <c r="V36" s="603"/>
      <c r="W36" s="63"/>
      <c r="X36" s="117"/>
      <c r="Y36" s="173"/>
      <c r="Z36" s="63"/>
    </row>
    <row r="37" ht="14.25" customHeight="1">
      <c r="B37" s="100"/>
      <c r="C37" s="126"/>
      <c r="D37" s="118" t="s">
        <v>845</v>
      </c>
      <c r="E37" s="118" t="s">
        <v>160</v>
      </c>
      <c r="L37" s="61"/>
      <c r="M37" s="63"/>
      <c r="N37" s="552"/>
      <c r="O37" s="63"/>
      <c r="P37" s="552"/>
      <c r="Q37" s="552"/>
      <c r="R37" s="63"/>
      <c r="S37" s="552"/>
      <c r="T37" s="552"/>
      <c r="U37" s="552"/>
      <c r="V37" s="552"/>
      <c r="W37" s="63"/>
      <c r="X37" s="117"/>
      <c r="Y37" s="173"/>
      <c r="Z37" s="63"/>
    </row>
    <row r="38" ht="14.25" customHeight="1">
      <c r="B38" s="100"/>
      <c r="C38" s="77"/>
      <c r="D38" s="118" t="s">
        <v>847</v>
      </c>
      <c r="E38" s="118" t="s">
        <v>1244</v>
      </c>
      <c r="L38" s="61"/>
      <c r="M38" s="63"/>
      <c r="N38" s="552"/>
      <c r="O38" s="63"/>
      <c r="P38" s="552"/>
      <c r="Q38" s="552"/>
      <c r="R38" s="63"/>
      <c r="S38" s="552"/>
      <c r="T38" s="552"/>
      <c r="U38" s="552"/>
      <c r="V38" s="552"/>
      <c r="W38" s="63"/>
      <c r="X38" s="117"/>
      <c r="Y38" s="173"/>
      <c r="Z38" s="63"/>
    </row>
    <row r="39" ht="14.25" customHeight="1">
      <c r="B39" s="100"/>
      <c r="C39" s="77"/>
      <c r="D39" s="118" t="s">
        <v>849</v>
      </c>
      <c r="E39" s="118" t="s">
        <v>1245</v>
      </c>
      <c r="L39" s="61"/>
      <c r="M39" s="63"/>
      <c r="N39" s="552"/>
      <c r="O39" s="63"/>
      <c r="P39" s="552"/>
      <c r="Q39" s="552"/>
      <c r="R39" s="63"/>
      <c r="S39" s="552"/>
      <c r="T39" s="552"/>
      <c r="U39" s="552"/>
      <c r="V39" s="552"/>
      <c r="W39" s="63"/>
      <c r="X39" s="117"/>
      <c r="Y39" s="173"/>
      <c r="Z39" s="63"/>
    </row>
    <row r="40" ht="14.25" customHeight="1">
      <c r="B40" s="100"/>
      <c r="C40" s="126"/>
      <c r="D40" s="118" t="s">
        <v>858</v>
      </c>
      <c r="E40" s="118" t="s">
        <v>1246</v>
      </c>
      <c r="L40" s="61"/>
      <c r="M40" s="63"/>
      <c r="N40" s="552"/>
      <c r="O40" s="63"/>
      <c r="P40" s="552"/>
      <c r="Q40" s="552"/>
      <c r="R40" s="63"/>
      <c r="S40" s="552"/>
      <c r="T40" s="552"/>
      <c r="U40" s="552"/>
      <c r="V40" s="552"/>
      <c r="W40" s="63"/>
      <c r="X40" s="117"/>
      <c r="Y40" s="173"/>
      <c r="Z40" s="63"/>
    </row>
    <row r="41" ht="14.25" customHeight="1">
      <c r="B41" s="100"/>
      <c r="C41" s="126"/>
      <c r="D41" s="118" t="s">
        <v>860</v>
      </c>
      <c r="E41" s="118" t="s">
        <v>1247</v>
      </c>
      <c r="L41" s="61"/>
      <c r="M41" s="63"/>
      <c r="N41" s="552"/>
      <c r="O41" s="63"/>
      <c r="P41" s="552"/>
      <c r="Q41" s="552"/>
      <c r="R41" s="63"/>
      <c r="S41" s="552"/>
      <c r="T41" s="552"/>
      <c r="U41" s="552"/>
      <c r="V41" s="552"/>
      <c r="W41" s="63"/>
      <c r="X41" s="117"/>
      <c r="Y41" s="173"/>
      <c r="Z41" s="63"/>
    </row>
    <row r="42" ht="14.25" customHeight="1">
      <c r="B42" s="113"/>
      <c r="D42" s="118" t="s">
        <v>862</v>
      </c>
      <c r="E42" s="118" t="s">
        <v>1248</v>
      </c>
      <c r="L42" s="61"/>
      <c r="M42" s="63"/>
      <c r="N42" s="63"/>
      <c r="O42" s="63"/>
      <c r="P42" s="63"/>
      <c r="Q42" s="63"/>
      <c r="R42" s="63"/>
      <c r="S42" s="63"/>
      <c r="T42" s="63"/>
      <c r="U42" s="63"/>
      <c r="V42" s="63"/>
      <c r="W42" s="63"/>
      <c r="X42" s="117"/>
      <c r="Y42" s="173"/>
      <c r="Z42" s="63"/>
    </row>
    <row r="43" ht="14.25" customHeight="1">
      <c r="B43" s="60"/>
      <c r="C43" s="118">
        <v>3.2</v>
      </c>
      <c r="D43" s="118" t="s">
        <v>1249</v>
      </c>
      <c r="L43" s="61"/>
      <c r="M43" s="63"/>
      <c r="N43" s="63">
        <v>0.0</v>
      </c>
      <c r="O43" s="63"/>
      <c r="P43" s="63"/>
      <c r="Q43" s="63"/>
      <c r="R43" s="63"/>
      <c r="S43" s="63"/>
      <c r="T43" s="63"/>
      <c r="U43" s="63"/>
      <c r="V43" s="63"/>
      <c r="W43" s="63"/>
      <c r="X43" s="117"/>
      <c r="Y43" s="173"/>
      <c r="Z43" s="63"/>
    </row>
    <row r="44" ht="14.25" customHeight="1">
      <c r="B44" s="113"/>
      <c r="D44" s="118" t="s">
        <v>845</v>
      </c>
      <c r="E44" s="118" t="s">
        <v>160</v>
      </c>
      <c r="L44" s="61"/>
      <c r="M44" s="63"/>
      <c r="N44" s="63"/>
      <c r="O44" s="63"/>
      <c r="P44" s="63"/>
      <c r="Q44" s="63"/>
      <c r="R44" s="210"/>
      <c r="S44" s="63"/>
      <c r="T44" s="63"/>
      <c r="U44" s="63"/>
      <c r="V44" s="63"/>
      <c r="W44" s="63"/>
      <c r="X44" s="117"/>
      <c r="Y44" s="173"/>
      <c r="Z44" s="63"/>
    </row>
    <row r="45" ht="14.25" customHeight="1">
      <c r="B45" s="148"/>
      <c r="C45" s="144"/>
      <c r="D45" s="143" t="s">
        <v>847</v>
      </c>
      <c r="E45" s="143" t="s">
        <v>1244</v>
      </c>
      <c r="L45" s="61"/>
      <c r="M45" s="63"/>
      <c r="N45" s="63"/>
      <c r="O45" s="63"/>
      <c r="P45" s="63"/>
      <c r="Q45" s="63"/>
      <c r="R45" s="618"/>
      <c r="S45" s="606"/>
      <c r="T45" s="606"/>
      <c r="U45" s="606"/>
      <c r="V45" s="606"/>
      <c r="W45" s="63"/>
      <c r="X45" s="117"/>
      <c r="Y45" s="173"/>
      <c r="Z45" s="63"/>
    </row>
    <row r="46" ht="14.25" customHeight="1">
      <c r="B46" s="148"/>
      <c r="C46" s="144"/>
      <c r="D46" s="144" t="s">
        <v>849</v>
      </c>
      <c r="E46" s="144" t="s">
        <v>1245</v>
      </c>
      <c r="L46" s="61"/>
      <c r="M46" s="63"/>
      <c r="N46" s="63"/>
      <c r="O46" s="63"/>
      <c r="P46" s="63"/>
      <c r="Q46" s="63"/>
      <c r="R46" s="149"/>
      <c r="S46" s="606"/>
      <c r="T46" s="606"/>
      <c r="U46" s="606"/>
      <c r="V46" s="606"/>
      <c r="W46" s="63"/>
      <c r="X46" s="117"/>
      <c r="Y46" s="173"/>
      <c r="Z46" s="63"/>
    </row>
    <row r="47" ht="14.25" customHeight="1">
      <c r="B47" s="148"/>
      <c r="C47" s="70"/>
      <c r="D47" s="77" t="s">
        <v>858</v>
      </c>
      <c r="E47" s="70" t="s">
        <v>1246</v>
      </c>
      <c r="L47" s="61"/>
      <c r="M47" s="63"/>
      <c r="N47" s="63"/>
      <c r="O47" s="63"/>
      <c r="P47" s="63"/>
      <c r="Q47" s="63"/>
      <c r="R47" s="149"/>
      <c r="S47" s="63"/>
      <c r="T47" s="63"/>
      <c r="U47" s="63"/>
      <c r="V47" s="63"/>
      <c r="W47" s="63"/>
      <c r="X47" s="117"/>
      <c r="Y47" s="173"/>
      <c r="Z47" s="63"/>
    </row>
    <row r="48" ht="14.25" customHeight="1">
      <c r="B48" s="148"/>
      <c r="C48" s="70"/>
      <c r="D48" s="77" t="s">
        <v>860</v>
      </c>
      <c r="E48" s="70" t="s">
        <v>1247</v>
      </c>
      <c r="L48" s="61"/>
      <c r="M48" s="63"/>
      <c r="N48" s="63"/>
      <c r="O48" s="63"/>
      <c r="P48" s="63"/>
      <c r="Q48" s="63"/>
      <c r="R48" s="149"/>
      <c r="S48" s="63"/>
      <c r="T48" s="63"/>
      <c r="U48" s="63"/>
      <c r="V48" s="63"/>
      <c r="W48" s="63"/>
      <c r="X48" s="117"/>
      <c r="Y48" s="173"/>
      <c r="Z48" s="63"/>
    </row>
    <row r="49" ht="14.25" customHeight="1">
      <c r="B49" s="148"/>
      <c r="C49" s="70"/>
      <c r="D49" s="77" t="s">
        <v>862</v>
      </c>
      <c r="E49" s="70" t="s">
        <v>1248</v>
      </c>
      <c r="L49" s="61"/>
      <c r="M49" s="63"/>
      <c r="N49" s="63"/>
      <c r="O49" s="63"/>
      <c r="P49" s="63"/>
      <c r="Q49" s="63"/>
      <c r="R49" s="149"/>
      <c r="S49" s="63"/>
      <c r="T49" s="63"/>
      <c r="U49" s="63"/>
      <c r="V49" s="63"/>
      <c r="W49" s="63"/>
      <c r="X49" s="117"/>
      <c r="Y49" s="173"/>
      <c r="Z49" s="63"/>
    </row>
    <row r="50" ht="14.25" customHeight="1">
      <c r="B50" s="148"/>
      <c r="C50" s="70"/>
      <c r="D50" s="77"/>
      <c r="E50" s="70"/>
      <c r="L50" s="61"/>
      <c r="M50" s="63"/>
      <c r="N50" s="63"/>
      <c r="O50" s="63"/>
      <c r="P50" s="63"/>
      <c r="Q50" s="63"/>
      <c r="R50" s="149"/>
      <c r="S50" s="63"/>
      <c r="T50" s="63"/>
      <c r="U50" s="63"/>
      <c r="V50" s="63"/>
      <c r="W50" s="63"/>
      <c r="X50" s="117"/>
      <c r="Y50" s="173"/>
      <c r="Z50" s="63"/>
    </row>
    <row r="51" ht="14.25" customHeight="1">
      <c r="B51" s="148" t="s">
        <v>926</v>
      </c>
      <c r="C51" s="70" t="s">
        <v>1250</v>
      </c>
      <c r="D51" s="77"/>
      <c r="E51" s="70"/>
      <c r="L51" s="61"/>
      <c r="M51" s="63"/>
      <c r="N51" s="63"/>
      <c r="O51" s="63"/>
      <c r="P51" s="63"/>
      <c r="Q51" s="63"/>
      <c r="R51" s="149"/>
      <c r="S51" s="63"/>
      <c r="T51" s="63"/>
      <c r="U51" s="63"/>
      <c r="V51" s="63"/>
      <c r="W51" s="63"/>
      <c r="X51" s="117"/>
      <c r="Y51" s="173"/>
      <c r="Z51" s="63"/>
    </row>
    <row r="52" ht="14.25" customHeight="1">
      <c r="B52" s="148"/>
      <c r="C52" s="70"/>
      <c r="D52" s="77" t="s">
        <v>845</v>
      </c>
      <c r="E52" s="70" t="s">
        <v>1251</v>
      </c>
      <c r="L52" s="61"/>
      <c r="M52" s="63"/>
      <c r="N52" s="63"/>
      <c r="O52" s="63"/>
      <c r="P52" s="63"/>
      <c r="Q52" s="63"/>
      <c r="R52" s="149"/>
      <c r="S52" s="63"/>
      <c r="T52" s="63"/>
      <c r="U52" s="63"/>
      <c r="V52" s="63"/>
      <c r="W52" s="63"/>
      <c r="X52" s="117"/>
      <c r="Y52" s="173"/>
      <c r="Z52" s="63"/>
    </row>
    <row r="53" ht="14.25" customHeight="1">
      <c r="B53" s="148"/>
      <c r="C53" s="144"/>
      <c r="D53" s="144" t="s">
        <v>847</v>
      </c>
      <c r="E53" s="118" t="s">
        <v>1252</v>
      </c>
      <c r="L53" s="61"/>
      <c r="M53" s="63"/>
      <c r="N53" s="63"/>
      <c r="O53" s="63"/>
      <c r="P53" s="63"/>
      <c r="Q53" s="63"/>
      <c r="R53" s="149"/>
      <c r="S53" s="63"/>
      <c r="T53" s="63"/>
      <c r="U53" s="63"/>
      <c r="V53" s="63"/>
      <c r="W53" s="63"/>
      <c r="X53" s="117"/>
      <c r="Y53" s="173"/>
      <c r="Z53" s="63"/>
    </row>
    <row r="54" ht="14.25" customHeight="1">
      <c r="B54" s="148"/>
      <c r="C54" s="144"/>
      <c r="D54" s="144" t="s">
        <v>849</v>
      </c>
      <c r="E54" s="118" t="s">
        <v>1253</v>
      </c>
      <c r="L54" s="61"/>
      <c r="M54" s="63"/>
      <c r="N54" s="63"/>
      <c r="O54" s="63"/>
      <c r="P54" s="63"/>
      <c r="Q54" s="63"/>
      <c r="R54" s="149"/>
      <c r="S54" s="63"/>
      <c r="T54" s="63"/>
      <c r="U54" s="63"/>
      <c r="V54" s="63"/>
      <c r="W54" s="63"/>
      <c r="X54" s="117"/>
      <c r="Y54" s="173"/>
      <c r="Z54" s="63"/>
    </row>
    <row r="55" ht="14.25" customHeight="1">
      <c r="B55" s="148" t="s">
        <v>937</v>
      </c>
      <c r="C55" s="214" t="s">
        <v>1254</v>
      </c>
      <c r="D55" s="144"/>
      <c r="L55" s="61"/>
      <c r="M55" s="63"/>
      <c r="N55" s="63">
        <v>50.0</v>
      </c>
      <c r="O55" s="63"/>
      <c r="P55" s="63"/>
      <c r="Q55" s="63"/>
      <c r="R55" s="149"/>
      <c r="S55" s="63"/>
      <c r="T55" s="63">
        <v>52.0</v>
      </c>
      <c r="U55" s="63"/>
      <c r="V55" s="63">
        <v>52.0</v>
      </c>
      <c r="W55" s="63"/>
      <c r="X55" s="117"/>
      <c r="Y55" s="173"/>
      <c r="Z55" s="63"/>
    </row>
    <row r="56" ht="14.25" customHeight="1">
      <c r="B56" s="148"/>
      <c r="C56" s="144"/>
      <c r="D56" s="144"/>
      <c r="L56" s="61"/>
      <c r="M56" s="63"/>
      <c r="N56" s="63"/>
      <c r="O56" s="63"/>
      <c r="P56" s="63"/>
      <c r="Q56" s="63"/>
      <c r="R56" s="149"/>
      <c r="S56" s="606"/>
      <c r="T56" s="606"/>
      <c r="U56" s="606"/>
      <c r="V56" s="606"/>
      <c r="W56" s="63"/>
      <c r="X56" s="117"/>
      <c r="Y56" s="173"/>
      <c r="Z56" s="63"/>
    </row>
    <row r="57" ht="14.25" customHeight="1">
      <c r="B57" s="148" t="s">
        <v>941</v>
      </c>
      <c r="C57" s="214" t="s">
        <v>844</v>
      </c>
      <c r="D57" s="154"/>
      <c r="L57" s="61"/>
      <c r="M57" s="63"/>
      <c r="N57" s="63"/>
      <c r="O57" s="63"/>
      <c r="P57" s="63"/>
      <c r="Q57" s="63"/>
      <c r="R57" s="149"/>
      <c r="S57" s="63"/>
      <c r="T57" s="63"/>
      <c r="U57" s="63"/>
      <c r="V57" s="63"/>
      <c r="W57" s="63"/>
      <c r="X57" s="117"/>
      <c r="Y57" s="173"/>
      <c r="Z57" s="63"/>
    </row>
    <row r="58" ht="14.25" customHeight="1">
      <c r="B58" s="148"/>
      <c r="C58" s="144" t="s">
        <v>1160</v>
      </c>
      <c r="D58" s="154" t="s">
        <v>1196</v>
      </c>
      <c r="L58" s="61"/>
      <c r="M58" s="63"/>
      <c r="N58" s="63"/>
      <c r="O58" s="63"/>
      <c r="P58" s="63"/>
      <c r="Q58" s="63"/>
      <c r="R58" s="149"/>
      <c r="S58" s="63"/>
      <c r="T58" s="63"/>
      <c r="U58" s="63"/>
      <c r="V58" s="63"/>
      <c r="W58" s="63"/>
      <c r="X58" s="117"/>
      <c r="Y58" s="173"/>
      <c r="Z58" s="63"/>
    </row>
    <row r="59" ht="14.25" customHeight="1">
      <c r="B59" s="148"/>
      <c r="C59" s="144">
        <v>6.2</v>
      </c>
      <c r="D59" s="154" t="s">
        <v>848</v>
      </c>
      <c r="L59" s="61"/>
      <c r="M59" s="63"/>
      <c r="N59" s="63"/>
      <c r="O59" s="63"/>
      <c r="P59" s="63"/>
      <c r="Q59" s="63"/>
      <c r="R59" s="149"/>
      <c r="S59" s="63"/>
      <c r="T59" s="63"/>
      <c r="U59" s="63"/>
      <c r="V59" s="63"/>
      <c r="W59" s="63"/>
      <c r="X59" s="117"/>
      <c r="Y59" s="173"/>
      <c r="Z59" s="63"/>
    </row>
    <row r="60" ht="14.25" customHeight="1">
      <c r="B60" s="148"/>
      <c r="C60" s="144">
        <v>6.3</v>
      </c>
      <c r="D60" s="144" t="s">
        <v>850</v>
      </c>
      <c r="L60" s="61"/>
      <c r="M60" s="63"/>
      <c r="N60" s="63"/>
      <c r="O60" s="63"/>
      <c r="P60" s="63"/>
      <c r="Q60" s="63"/>
      <c r="R60" s="149"/>
      <c r="S60" s="63"/>
      <c r="T60" s="63"/>
      <c r="U60" s="63"/>
      <c r="V60" s="63"/>
      <c r="W60" s="63"/>
      <c r="X60" s="117"/>
      <c r="Y60" s="173"/>
      <c r="Z60" s="63"/>
    </row>
    <row r="61" ht="14.25" customHeight="1">
      <c r="B61" s="148" t="s">
        <v>1167</v>
      </c>
      <c r="C61" s="214" t="s">
        <v>1255</v>
      </c>
      <c r="D61" s="154"/>
      <c r="L61" s="61"/>
      <c r="M61" s="63"/>
      <c r="N61" s="63"/>
      <c r="O61" s="63"/>
      <c r="P61" s="63"/>
      <c r="Q61" s="63"/>
      <c r="R61" s="149"/>
      <c r="S61" s="63"/>
      <c r="T61" s="63"/>
      <c r="U61" s="63"/>
      <c r="V61" s="63"/>
      <c r="W61" s="63"/>
      <c r="X61" s="117"/>
      <c r="Y61" s="173"/>
      <c r="Z61" s="63"/>
    </row>
    <row r="62" ht="14.25" customHeight="1">
      <c r="B62" s="148"/>
      <c r="C62" s="144">
        <v>7.1</v>
      </c>
      <c r="D62" s="154" t="s">
        <v>1256</v>
      </c>
      <c r="L62" s="61"/>
      <c r="M62" s="63"/>
      <c r="N62" s="63"/>
      <c r="O62" s="63"/>
      <c r="P62" s="63"/>
      <c r="Q62" s="63"/>
      <c r="R62" s="149"/>
      <c r="S62" s="63"/>
      <c r="T62" s="63"/>
      <c r="U62" s="63"/>
      <c r="V62" s="63"/>
      <c r="W62" s="63"/>
      <c r="X62" s="117"/>
      <c r="Y62" s="173"/>
      <c r="Z62" s="63"/>
    </row>
    <row r="63" ht="14.25" customHeight="1">
      <c r="B63" s="148"/>
      <c r="C63" s="144"/>
      <c r="D63" s="154" t="s">
        <v>845</v>
      </c>
      <c r="E63" s="118" t="s">
        <v>1257</v>
      </c>
      <c r="L63" s="61"/>
      <c r="M63" s="63"/>
      <c r="N63" s="63"/>
      <c r="O63" s="63"/>
      <c r="P63" s="63"/>
      <c r="Q63" s="63"/>
      <c r="R63" s="149"/>
      <c r="S63" s="63"/>
      <c r="T63" s="63"/>
      <c r="U63" s="63"/>
      <c r="V63" s="63"/>
      <c r="W63" s="63"/>
      <c r="X63" s="117"/>
      <c r="Y63" s="173"/>
      <c r="Z63" s="63"/>
    </row>
    <row r="64" ht="14.25" customHeight="1">
      <c r="B64" s="148"/>
      <c r="C64" s="144"/>
      <c r="D64" s="154" t="s">
        <v>847</v>
      </c>
      <c r="E64" s="118" t="s">
        <v>1258</v>
      </c>
      <c r="L64" s="61"/>
      <c r="M64" s="63"/>
      <c r="N64" s="63"/>
      <c r="O64" s="63"/>
      <c r="P64" s="63"/>
      <c r="Q64" s="63"/>
      <c r="R64" s="149"/>
      <c r="S64" s="63"/>
      <c r="T64" s="63"/>
      <c r="U64" s="63"/>
      <c r="V64" s="63"/>
      <c r="W64" s="63"/>
      <c r="X64" s="117"/>
      <c r="Y64" s="173"/>
      <c r="Z64" s="63"/>
    </row>
    <row r="65" ht="14.25" customHeight="1">
      <c r="B65" s="148"/>
      <c r="C65" s="144">
        <v>7.2</v>
      </c>
      <c r="D65" s="154" t="s">
        <v>1259</v>
      </c>
      <c r="L65" s="61"/>
      <c r="M65" s="63"/>
      <c r="N65" s="63"/>
      <c r="O65" s="63"/>
      <c r="P65" s="63"/>
      <c r="Q65" s="63"/>
      <c r="R65" s="149"/>
      <c r="S65" s="63"/>
      <c r="T65" s="63"/>
      <c r="U65" s="63"/>
      <c r="V65" s="63"/>
      <c r="W65" s="63"/>
      <c r="X65" s="117"/>
      <c r="Y65" s="173"/>
      <c r="Z65" s="63"/>
    </row>
    <row r="66" ht="14.25" customHeight="1">
      <c r="B66" s="148"/>
      <c r="C66" s="144"/>
      <c r="D66" s="144" t="s">
        <v>845</v>
      </c>
      <c r="E66" s="118" t="s">
        <v>1260</v>
      </c>
      <c r="L66" s="61"/>
      <c r="M66" s="63"/>
      <c r="N66" s="63"/>
      <c r="O66" s="63"/>
      <c r="P66" s="63"/>
      <c r="Q66" s="63"/>
      <c r="R66" s="149"/>
      <c r="S66" s="63"/>
      <c r="T66" s="63"/>
      <c r="U66" s="63"/>
      <c r="V66" s="63"/>
      <c r="W66" s="63"/>
      <c r="X66" s="117"/>
      <c r="Y66" s="173"/>
      <c r="Z66" s="63"/>
    </row>
    <row r="67" ht="14.25" customHeight="1">
      <c r="B67" s="148"/>
      <c r="C67" s="144"/>
      <c r="D67" s="144" t="s">
        <v>847</v>
      </c>
      <c r="E67" s="118" t="s">
        <v>1261</v>
      </c>
      <c r="L67" s="61"/>
      <c r="M67" s="63"/>
      <c r="N67" s="63"/>
      <c r="O67" s="63"/>
      <c r="P67" s="63"/>
      <c r="Q67" s="63"/>
      <c r="R67" s="149"/>
      <c r="S67" s="63"/>
      <c r="T67" s="63"/>
      <c r="U67" s="63"/>
      <c r="V67" s="63"/>
      <c r="W67" s="63"/>
      <c r="X67" s="117"/>
      <c r="Y67" s="173"/>
      <c r="Z67" s="63"/>
    </row>
    <row r="68" ht="14.25" customHeight="1">
      <c r="B68" s="148"/>
      <c r="C68" s="144"/>
      <c r="D68" s="154" t="s">
        <v>849</v>
      </c>
      <c r="E68" s="118" t="s">
        <v>1262</v>
      </c>
      <c r="L68" s="61"/>
      <c r="M68" s="63"/>
      <c r="N68" s="63"/>
      <c r="O68" s="63"/>
      <c r="P68" s="63"/>
      <c r="Q68" s="63"/>
      <c r="R68" s="149"/>
      <c r="S68" s="63"/>
      <c r="T68" s="63"/>
      <c r="U68" s="63"/>
      <c r="V68" s="63"/>
      <c r="W68" s="63"/>
      <c r="X68" s="117"/>
      <c r="Y68" s="173"/>
      <c r="Z68" s="63"/>
    </row>
    <row r="69" ht="14.25" customHeight="1">
      <c r="B69" s="148"/>
      <c r="C69" s="144"/>
      <c r="D69" s="154" t="s">
        <v>858</v>
      </c>
      <c r="E69" s="118" t="s">
        <v>1263</v>
      </c>
      <c r="L69" s="61"/>
      <c r="M69" s="63"/>
      <c r="N69" s="63"/>
      <c r="O69" s="63"/>
      <c r="P69" s="63"/>
      <c r="Q69" s="63"/>
      <c r="R69" s="149"/>
      <c r="S69" s="63"/>
      <c r="T69" s="63"/>
      <c r="U69" s="63"/>
      <c r="V69" s="63"/>
      <c r="W69" s="63"/>
      <c r="X69" s="117"/>
      <c r="Y69" s="173"/>
      <c r="Z69" s="63"/>
    </row>
    <row r="70" ht="14.25" customHeight="1">
      <c r="B70" s="148"/>
      <c r="C70" s="144">
        <v>7.3</v>
      </c>
      <c r="D70" s="144" t="s">
        <v>1264</v>
      </c>
      <c r="L70" s="61"/>
      <c r="M70" s="63"/>
      <c r="N70" s="63"/>
      <c r="O70" s="63"/>
      <c r="P70" s="63"/>
      <c r="Q70" s="63"/>
      <c r="R70" s="149"/>
      <c r="S70" s="63"/>
      <c r="T70" s="63"/>
      <c r="U70" s="63"/>
      <c r="V70" s="63"/>
      <c r="W70" s="63"/>
      <c r="X70" s="117"/>
      <c r="Y70" s="173"/>
      <c r="Z70" s="63"/>
    </row>
    <row r="71" ht="14.25" customHeight="1">
      <c r="B71" s="148"/>
      <c r="C71" s="144"/>
      <c r="D71" s="144" t="s">
        <v>845</v>
      </c>
      <c r="E71" s="118" t="s">
        <v>1260</v>
      </c>
      <c r="L71" s="61"/>
      <c r="M71" s="63"/>
      <c r="N71" s="63"/>
      <c r="O71" s="63"/>
      <c r="P71" s="63"/>
      <c r="Q71" s="63"/>
      <c r="R71" s="149"/>
      <c r="S71" s="63"/>
      <c r="T71" s="63"/>
      <c r="U71" s="63"/>
      <c r="V71" s="63"/>
      <c r="W71" s="63"/>
      <c r="X71" s="117"/>
      <c r="Y71" s="173"/>
      <c r="Z71" s="63"/>
    </row>
    <row r="72" ht="14.25" customHeight="1">
      <c r="B72" s="148"/>
      <c r="C72" s="144"/>
      <c r="D72" s="144" t="s">
        <v>847</v>
      </c>
      <c r="E72" s="118" t="s">
        <v>1261</v>
      </c>
      <c r="L72" s="61"/>
      <c r="M72" s="63"/>
      <c r="N72" s="63"/>
      <c r="O72" s="63"/>
      <c r="P72" s="63"/>
      <c r="Q72" s="63"/>
      <c r="R72" s="149"/>
      <c r="S72" s="63"/>
      <c r="T72" s="63"/>
      <c r="U72" s="63"/>
      <c r="V72" s="63"/>
      <c r="W72" s="63"/>
      <c r="X72" s="117"/>
      <c r="Y72" s="173"/>
      <c r="Z72" s="63"/>
    </row>
    <row r="73" ht="14.25" customHeight="1">
      <c r="B73" s="148"/>
      <c r="C73" s="144"/>
      <c r="D73" s="183" t="s">
        <v>849</v>
      </c>
      <c r="E73" s="144" t="s">
        <v>1262</v>
      </c>
      <c r="L73" s="61"/>
      <c r="M73" s="63"/>
      <c r="N73" s="63"/>
      <c r="O73" s="63"/>
      <c r="P73" s="63"/>
      <c r="Q73" s="63"/>
      <c r="R73" s="149"/>
      <c r="S73" s="63"/>
      <c r="T73" s="63"/>
      <c r="U73" s="63"/>
      <c r="V73" s="63"/>
      <c r="W73" s="63"/>
      <c r="X73" s="117"/>
      <c r="Y73" s="173"/>
      <c r="Z73" s="63"/>
    </row>
    <row r="74" ht="14.25" customHeight="1">
      <c r="B74" s="148"/>
      <c r="C74" s="144"/>
      <c r="D74" s="183" t="s">
        <v>858</v>
      </c>
      <c r="E74" s="144" t="s">
        <v>1263</v>
      </c>
      <c r="L74" s="61"/>
      <c r="M74" s="63"/>
      <c r="N74" s="63"/>
      <c r="O74" s="63"/>
      <c r="P74" s="63"/>
      <c r="Q74" s="63"/>
      <c r="R74" s="149"/>
      <c r="S74" s="63"/>
      <c r="T74" s="63"/>
      <c r="U74" s="63"/>
      <c r="V74" s="63"/>
      <c r="W74" s="63"/>
      <c r="X74" s="117"/>
      <c r="Y74" s="173"/>
      <c r="Z74" s="63"/>
    </row>
    <row r="75" ht="14.25" customHeight="1">
      <c r="B75" s="148"/>
      <c r="C75" s="144">
        <v>7.4</v>
      </c>
      <c r="D75" s="183" t="s">
        <v>1265</v>
      </c>
      <c r="E75" s="144"/>
      <c r="L75" s="61"/>
      <c r="M75" s="63"/>
      <c r="N75" s="63"/>
      <c r="O75" s="63"/>
      <c r="P75" s="63"/>
      <c r="Q75" s="63"/>
      <c r="R75" s="149"/>
      <c r="S75" s="63"/>
      <c r="T75" s="63"/>
      <c r="U75" s="63"/>
      <c r="V75" s="63"/>
      <c r="W75" s="63"/>
      <c r="X75" s="117"/>
      <c r="Y75" s="173"/>
      <c r="Z75" s="63"/>
    </row>
    <row r="76" ht="14.25" customHeight="1">
      <c r="B76" s="148"/>
      <c r="C76" s="144"/>
      <c r="D76" s="144" t="s">
        <v>845</v>
      </c>
      <c r="E76" s="118" t="s">
        <v>1266</v>
      </c>
      <c r="L76" s="61"/>
      <c r="M76" s="63"/>
      <c r="N76" s="63"/>
      <c r="O76" s="63"/>
      <c r="P76" s="63"/>
      <c r="Q76" s="63"/>
      <c r="R76" s="149"/>
      <c r="S76" s="63"/>
      <c r="T76" s="63"/>
      <c r="U76" s="63"/>
      <c r="V76" s="63"/>
      <c r="W76" s="63"/>
      <c r="X76" s="117"/>
      <c r="Y76" s="173"/>
      <c r="Z76" s="63"/>
    </row>
    <row r="77" ht="14.25" customHeight="1">
      <c r="B77" s="148"/>
      <c r="C77" s="144"/>
      <c r="D77" s="144" t="s">
        <v>847</v>
      </c>
      <c r="E77" s="118" t="s">
        <v>1267</v>
      </c>
      <c r="L77" s="61"/>
      <c r="M77" s="63"/>
      <c r="N77" s="63"/>
      <c r="O77" s="63"/>
      <c r="P77" s="63"/>
      <c r="Q77" s="63"/>
      <c r="R77" s="149"/>
      <c r="S77" s="63"/>
      <c r="T77" s="63"/>
      <c r="U77" s="63"/>
      <c r="V77" s="63"/>
      <c r="W77" s="63"/>
      <c r="X77" s="117"/>
      <c r="Y77" s="173"/>
      <c r="Z77" s="63"/>
    </row>
    <row r="78" ht="14.25" customHeight="1">
      <c r="B78" s="148"/>
      <c r="C78" s="144"/>
      <c r="D78" s="144" t="s">
        <v>849</v>
      </c>
      <c r="E78" s="118" t="s">
        <v>1268</v>
      </c>
      <c r="L78" s="61"/>
      <c r="M78" s="63"/>
      <c r="N78" s="63"/>
      <c r="O78" s="63"/>
      <c r="P78" s="63"/>
      <c r="Q78" s="63"/>
      <c r="R78" s="149"/>
      <c r="S78" s="63"/>
      <c r="T78" s="63"/>
      <c r="U78" s="63"/>
      <c r="V78" s="63"/>
      <c r="W78" s="63"/>
      <c r="X78" s="117"/>
      <c r="Y78" s="173"/>
      <c r="Z78" s="63"/>
    </row>
    <row r="79" ht="14.25" customHeight="1">
      <c r="B79" s="148"/>
      <c r="C79" s="144"/>
      <c r="D79" s="144" t="s">
        <v>858</v>
      </c>
      <c r="E79" s="118" t="s">
        <v>1269</v>
      </c>
      <c r="L79" s="61"/>
      <c r="M79" s="63"/>
      <c r="N79" s="63"/>
      <c r="O79" s="63"/>
      <c r="P79" s="63"/>
      <c r="Q79" s="63"/>
      <c r="R79" s="149"/>
      <c r="S79" s="63"/>
      <c r="T79" s="63"/>
      <c r="U79" s="63"/>
      <c r="V79" s="63"/>
      <c r="W79" s="63"/>
      <c r="X79" s="117"/>
      <c r="Y79" s="173"/>
      <c r="Z79" s="63"/>
    </row>
    <row r="80" ht="14.25" customHeight="1">
      <c r="B80" s="148"/>
      <c r="C80" s="70" t="s">
        <v>1270</v>
      </c>
      <c r="D80" s="154" t="s">
        <v>1271</v>
      </c>
      <c r="L80" s="61"/>
      <c r="M80" s="63"/>
      <c r="N80" s="63"/>
      <c r="O80" s="63"/>
      <c r="P80" s="63"/>
      <c r="Q80" s="63"/>
      <c r="R80" s="149"/>
      <c r="S80" s="63"/>
      <c r="T80" s="63"/>
      <c r="U80" s="63"/>
      <c r="V80" s="63"/>
      <c r="W80" s="63"/>
      <c r="X80" s="117"/>
      <c r="Y80" s="173"/>
      <c r="Z80" s="63"/>
    </row>
    <row r="81" ht="14.25" customHeight="1">
      <c r="B81" s="148"/>
      <c r="C81" s="70" t="s">
        <v>1272</v>
      </c>
      <c r="D81" s="154" t="s">
        <v>1273</v>
      </c>
      <c r="L81" s="61"/>
      <c r="M81" s="63"/>
      <c r="N81" s="63"/>
      <c r="O81" s="63"/>
      <c r="P81" s="63"/>
      <c r="Q81" s="63"/>
      <c r="R81" s="149"/>
      <c r="S81" s="63"/>
      <c r="T81" s="63"/>
      <c r="U81" s="63"/>
      <c r="V81" s="63"/>
      <c r="W81" s="63"/>
      <c r="X81" s="117"/>
      <c r="Y81" s="173"/>
      <c r="Z81" s="63"/>
    </row>
    <row r="82" ht="14.25" customHeight="1">
      <c r="B82" s="148"/>
      <c r="C82" s="70">
        <v>7.7</v>
      </c>
      <c r="D82" s="154" t="s">
        <v>1274</v>
      </c>
      <c r="L82" s="61"/>
      <c r="M82" s="63"/>
      <c r="N82" s="63"/>
      <c r="O82" s="63"/>
      <c r="P82" s="63"/>
      <c r="Q82" s="63"/>
      <c r="R82" s="149"/>
      <c r="S82" s="63"/>
      <c r="T82" s="63"/>
      <c r="U82" s="63"/>
      <c r="V82" s="63"/>
      <c r="W82" s="63"/>
      <c r="X82" s="117"/>
      <c r="Y82" s="173"/>
      <c r="Z82" s="63"/>
    </row>
    <row r="83" ht="14.25" customHeight="1">
      <c r="B83" s="148"/>
      <c r="C83" s="70"/>
      <c r="D83" s="154" t="s">
        <v>845</v>
      </c>
      <c r="E83" s="118" t="s">
        <v>1257</v>
      </c>
      <c r="L83" s="61"/>
      <c r="M83" s="63"/>
      <c r="N83" s="63"/>
      <c r="O83" s="63"/>
      <c r="P83" s="63"/>
      <c r="Q83" s="63"/>
      <c r="R83" s="149"/>
      <c r="S83" s="63"/>
      <c r="T83" s="63"/>
      <c r="U83" s="63"/>
      <c r="V83" s="63"/>
      <c r="W83" s="63"/>
      <c r="X83" s="117"/>
      <c r="Y83" s="173"/>
      <c r="Z83" s="63"/>
    </row>
    <row r="84" ht="14.25" customHeight="1">
      <c r="B84" s="148"/>
      <c r="C84" s="70"/>
      <c r="D84" s="154" t="s">
        <v>847</v>
      </c>
      <c r="E84" s="118" t="s">
        <v>1258</v>
      </c>
      <c r="L84" s="61"/>
      <c r="M84" s="63"/>
      <c r="N84" s="63"/>
      <c r="O84" s="63"/>
      <c r="P84" s="63"/>
      <c r="Q84" s="63"/>
      <c r="R84" s="619"/>
      <c r="S84" s="63"/>
      <c r="T84" s="63"/>
      <c r="U84" s="63"/>
      <c r="V84" s="63"/>
      <c r="W84" s="63"/>
      <c r="X84" s="117"/>
      <c r="Y84" s="173"/>
      <c r="Z84" s="63"/>
    </row>
    <row r="85" ht="15.0" customHeight="1">
      <c r="B85" s="148" t="s">
        <v>1175</v>
      </c>
      <c r="C85" s="214" t="s">
        <v>1275</v>
      </c>
      <c r="D85" s="168"/>
      <c r="E85" s="168"/>
      <c r="L85" s="61"/>
      <c r="M85" s="63"/>
      <c r="N85" s="63"/>
      <c r="O85" s="63"/>
      <c r="P85" s="63"/>
      <c r="Q85" s="63"/>
      <c r="R85" s="57"/>
      <c r="S85" s="63"/>
      <c r="T85" s="63"/>
      <c r="U85" s="63"/>
      <c r="V85" s="63"/>
      <c r="W85" s="63"/>
      <c r="X85" s="117"/>
      <c r="Y85" s="173"/>
      <c r="Z85" s="63"/>
    </row>
    <row r="86" ht="15.0" customHeight="1">
      <c r="B86" s="148"/>
      <c r="C86" s="214" t="s">
        <v>1276</v>
      </c>
      <c r="D86" s="70"/>
      <c r="E86" s="70"/>
      <c r="F86" s="70"/>
      <c r="L86" s="61"/>
      <c r="M86" s="63"/>
      <c r="N86" s="63"/>
      <c r="O86" s="63"/>
      <c r="P86" s="63"/>
      <c r="Q86" s="63"/>
      <c r="R86" s="63"/>
      <c r="S86" s="63"/>
      <c r="T86" s="63"/>
      <c r="U86" s="63"/>
      <c r="V86" s="63"/>
      <c r="W86" s="63"/>
      <c r="X86" s="117"/>
      <c r="Y86" s="173"/>
      <c r="Z86" s="63"/>
    </row>
    <row r="87" ht="15.0" customHeight="1">
      <c r="B87" s="148"/>
      <c r="C87" s="214" t="s">
        <v>1277</v>
      </c>
      <c r="D87" s="70" t="s">
        <v>1278</v>
      </c>
      <c r="E87" s="70"/>
      <c r="F87" s="70"/>
      <c r="L87" s="61"/>
      <c r="M87" s="63"/>
      <c r="N87" s="63"/>
      <c r="O87" s="63"/>
      <c r="P87" s="63"/>
      <c r="Q87" s="63"/>
      <c r="R87" s="63"/>
      <c r="S87" s="63"/>
      <c r="T87" s="63"/>
      <c r="U87" s="63"/>
      <c r="V87" s="63"/>
      <c r="W87" s="63"/>
      <c r="X87" s="117"/>
      <c r="Y87" s="173"/>
      <c r="Z87" s="63"/>
    </row>
    <row r="88" ht="15.0" customHeight="1">
      <c r="B88" s="148"/>
      <c r="C88" s="214" t="s">
        <v>1279</v>
      </c>
      <c r="D88" s="70" t="s">
        <v>1280</v>
      </c>
      <c r="E88" s="70"/>
      <c r="F88" s="70"/>
      <c r="L88" s="61"/>
      <c r="M88" s="63"/>
      <c r="N88" s="63"/>
      <c r="O88" s="63"/>
      <c r="P88" s="63"/>
      <c r="Q88" s="63"/>
      <c r="R88" s="63"/>
      <c r="S88" s="63"/>
      <c r="T88" s="63"/>
      <c r="U88" s="63"/>
      <c r="V88" s="63"/>
      <c r="W88" s="63"/>
      <c r="X88" s="117"/>
      <c r="Y88" s="173"/>
      <c r="Z88" s="63"/>
    </row>
    <row r="89" ht="15.0" customHeight="1">
      <c r="B89" s="148"/>
      <c r="C89" s="144">
        <v>8.3</v>
      </c>
      <c r="D89" s="70" t="s">
        <v>1281</v>
      </c>
      <c r="E89" s="70"/>
      <c r="F89" s="70"/>
      <c r="L89" s="61"/>
      <c r="M89" s="63"/>
      <c r="N89" s="63"/>
      <c r="O89" s="63"/>
      <c r="P89" s="63"/>
      <c r="Q89" s="63"/>
      <c r="R89" s="63"/>
      <c r="S89" s="63"/>
      <c r="T89" s="63"/>
      <c r="U89" s="63"/>
      <c r="V89" s="63"/>
      <c r="W89" s="63"/>
      <c r="X89" s="117"/>
      <c r="Y89" s="173"/>
      <c r="Z89" s="63"/>
    </row>
    <row r="90" ht="15.0" customHeight="1">
      <c r="B90" s="148"/>
      <c r="C90" s="144"/>
      <c r="D90" s="70"/>
      <c r="E90" s="70"/>
      <c r="F90" s="70"/>
      <c r="L90" s="61"/>
      <c r="M90" s="63"/>
      <c r="N90" s="63"/>
      <c r="O90" s="63"/>
      <c r="P90" s="63"/>
      <c r="Q90" s="63"/>
      <c r="R90" s="63"/>
      <c r="S90" s="63"/>
      <c r="T90" s="63"/>
      <c r="U90" s="63"/>
      <c r="V90" s="63"/>
      <c r="W90" s="63"/>
      <c r="X90" s="117"/>
      <c r="Y90" s="173"/>
      <c r="Z90" s="63"/>
    </row>
    <row r="91" ht="15.0" customHeight="1">
      <c r="B91" s="148"/>
      <c r="C91" s="144"/>
      <c r="D91" s="70"/>
      <c r="E91" s="70"/>
      <c r="F91" s="70"/>
      <c r="L91" s="61"/>
      <c r="M91" s="63"/>
      <c r="N91" s="63"/>
      <c r="O91" s="63"/>
      <c r="P91" s="63"/>
      <c r="Q91" s="63"/>
      <c r="R91" s="63"/>
      <c r="S91" s="63"/>
      <c r="T91" s="63"/>
      <c r="U91" s="63"/>
      <c r="V91" s="63"/>
      <c r="W91" s="63"/>
      <c r="X91" s="117"/>
      <c r="Y91" s="173"/>
      <c r="Z91" s="63"/>
    </row>
    <row r="92" ht="15.0" customHeight="1">
      <c r="B92" s="148" t="s">
        <v>1282</v>
      </c>
      <c r="C92" s="144"/>
      <c r="D92" s="70"/>
      <c r="E92" s="70"/>
      <c r="F92" s="70"/>
      <c r="L92" s="61"/>
      <c r="M92" s="63"/>
      <c r="N92" s="63"/>
      <c r="O92" s="63"/>
      <c r="P92" s="63"/>
      <c r="Q92" s="63"/>
      <c r="R92" s="63"/>
      <c r="S92" s="63"/>
      <c r="T92" s="63"/>
      <c r="U92" s="63"/>
      <c r="V92" s="63"/>
      <c r="W92" s="63"/>
      <c r="X92" s="117"/>
      <c r="Y92" s="173"/>
      <c r="Z92" s="63"/>
    </row>
    <row r="93" ht="15.0" customHeight="1">
      <c r="B93" s="148"/>
      <c r="C93" s="214" t="s">
        <v>866</v>
      </c>
      <c r="D93" s="70" t="s">
        <v>1283</v>
      </c>
      <c r="E93" s="70"/>
      <c r="F93" s="70"/>
      <c r="L93" s="61"/>
      <c r="M93" s="63"/>
      <c r="N93" s="63"/>
      <c r="O93" s="63"/>
      <c r="P93" s="63"/>
      <c r="Q93" s="63"/>
      <c r="R93" s="63"/>
      <c r="S93" s="63"/>
      <c r="T93" s="63"/>
      <c r="U93" s="63"/>
      <c r="V93" s="63"/>
      <c r="W93" s="63"/>
      <c r="X93" s="117"/>
      <c r="Y93" s="173"/>
      <c r="Z93" s="63"/>
    </row>
    <row r="94" ht="15.0" customHeight="1">
      <c r="B94" s="148"/>
      <c r="C94" s="144"/>
      <c r="D94" s="70">
        <v>1.1</v>
      </c>
      <c r="E94" s="70" t="s">
        <v>1284</v>
      </c>
      <c r="F94" s="70"/>
      <c r="L94" s="61"/>
      <c r="M94" s="63"/>
      <c r="N94" s="63"/>
      <c r="O94" s="63"/>
      <c r="P94" s="63"/>
      <c r="Q94" s="63"/>
      <c r="R94" s="63"/>
      <c r="S94" s="63"/>
      <c r="T94" s="63"/>
      <c r="U94" s="63"/>
      <c r="V94" s="63"/>
      <c r="W94" s="63"/>
      <c r="X94" s="117"/>
      <c r="Y94" s="173"/>
      <c r="Z94" s="63"/>
    </row>
    <row r="95" ht="14.25" customHeight="1">
      <c r="B95" s="148"/>
      <c r="C95" s="70"/>
      <c r="D95" s="70" t="s">
        <v>1131</v>
      </c>
      <c r="E95" s="77" t="s">
        <v>1285</v>
      </c>
      <c r="F95" s="70"/>
      <c r="L95" s="61"/>
      <c r="M95" s="63"/>
      <c r="N95" s="63"/>
      <c r="O95" s="63"/>
      <c r="P95" s="63"/>
      <c r="Q95" s="63"/>
      <c r="R95" s="63"/>
      <c r="S95" s="63"/>
      <c r="T95" s="63"/>
      <c r="U95" s="63"/>
      <c r="V95" s="63"/>
      <c r="W95" s="63"/>
      <c r="X95" s="117"/>
      <c r="Y95" s="173"/>
      <c r="Z95" s="63"/>
    </row>
    <row r="96" ht="14.25" customHeight="1">
      <c r="B96" s="148"/>
      <c r="C96" s="70"/>
      <c r="D96" s="70" t="s">
        <v>1286</v>
      </c>
      <c r="E96" s="77" t="s">
        <v>1287</v>
      </c>
      <c r="F96" s="70"/>
      <c r="L96" s="61"/>
      <c r="M96" s="63"/>
      <c r="N96" s="63"/>
      <c r="O96" s="63"/>
      <c r="P96" s="63"/>
      <c r="Q96" s="63"/>
      <c r="R96" s="63"/>
      <c r="S96" s="63"/>
      <c r="T96" s="63"/>
      <c r="U96" s="63"/>
      <c r="V96" s="63"/>
      <c r="W96" s="63"/>
      <c r="X96" s="117"/>
      <c r="Y96" s="173"/>
      <c r="Z96" s="63"/>
    </row>
    <row r="97" ht="14.25" customHeight="1">
      <c r="B97" s="148"/>
      <c r="C97" s="70" t="s">
        <v>906</v>
      </c>
      <c r="D97" s="70" t="s">
        <v>1288</v>
      </c>
      <c r="E97" s="77"/>
      <c r="F97" s="70"/>
      <c r="L97" s="61"/>
      <c r="M97" s="63"/>
      <c r="N97" s="63"/>
      <c r="O97" s="63"/>
      <c r="P97" s="63"/>
      <c r="Q97" s="63"/>
      <c r="R97" s="63"/>
      <c r="S97" s="63"/>
      <c r="T97" s="63"/>
      <c r="U97" s="63"/>
      <c r="V97" s="63"/>
      <c r="W97" s="63"/>
      <c r="X97" s="117"/>
      <c r="Y97" s="173"/>
      <c r="Z97" s="63"/>
    </row>
    <row r="98" ht="14.25" customHeight="1">
      <c r="B98" s="148"/>
      <c r="C98" s="70"/>
      <c r="D98" s="70" t="s">
        <v>1134</v>
      </c>
      <c r="E98" s="70" t="s">
        <v>1130</v>
      </c>
      <c r="L98" s="61"/>
      <c r="M98" s="63"/>
      <c r="N98" s="63"/>
      <c r="O98" s="63"/>
      <c r="P98" s="63"/>
      <c r="Q98" s="63"/>
      <c r="R98" s="63"/>
      <c r="S98" s="63"/>
      <c r="T98" s="63"/>
      <c r="U98" s="63"/>
      <c r="V98" s="63"/>
      <c r="W98" s="63"/>
      <c r="X98" s="117"/>
      <c r="Y98" s="173"/>
      <c r="Z98" s="63"/>
    </row>
    <row r="99" ht="14.25" customHeight="1">
      <c r="B99" s="148"/>
      <c r="C99" s="70"/>
      <c r="D99" s="70"/>
      <c r="E99" s="70" t="s">
        <v>845</v>
      </c>
      <c r="F99" s="118" t="s">
        <v>1289</v>
      </c>
      <c r="L99" s="61"/>
      <c r="M99" s="63"/>
      <c r="N99" s="63">
        <v>2.0</v>
      </c>
      <c r="O99" s="63">
        <v>4.0</v>
      </c>
      <c r="P99" s="63">
        <v>3.0</v>
      </c>
      <c r="Q99" s="63">
        <v>1.0</v>
      </c>
      <c r="R99" s="63"/>
      <c r="S99" s="63">
        <v>2.0</v>
      </c>
      <c r="T99" s="63">
        <v>1.0</v>
      </c>
      <c r="U99" s="63">
        <v>1.0</v>
      </c>
      <c r="V99" s="63"/>
      <c r="W99" s="63"/>
      <c r="X99" s="117"/>
      <c r="Y99" s="173"/>
      <c r="Z99" s="63"/>
    </row>
    <row r="100" ht="14.25" customHeight="1">
      <c r="B100" s="148"/>
      <c r="C100" s="144"/>
      <c r="D100" s="144"/>
      <c r="E100" s="183" t="s">
        <v>847</v>
      </c>
      <c r="F100" s="118" t="s">
        <v>1290</v>
      </c>
      <c r="L100" s="61"/>
      <c r="M100" s="63"/>
      <c r="N100" s="63"/>
      <c r="O100" s="63"/>
      <c r="P100" s="63"/>
      <c r="Q100" s="63"/>
      <c r="R100" s="63"/>
      <c r="S100" s="63"/>
      <c r="T100" s="63">
        <v>1.0</v>
      </c>
      <c r="U100" s="63">
        <v>4.0</v>
      </c>
      <c r="V100" s="63"/>
      <c r="W100" s="63"/>
      <c r="X100" s="117"/>
      <c r="Y100" s="173"/>
      <c r="Z100" s="63"/>
    </row>
    <row r="101" ht="15.0" customHeight="1">
      <c r="B101" s="148"/>
      <c r="C101" s="620"/>
      <c r="D101" s="186" t="s">
        <v>1136</v>
      </c>
      <c r="E101" s="186" t="s">
        <v>1291</v>
      </c>
      <c r="L101" s="61"/>
      <c r="M101" s="63"/>
      <c r="N101" s="63"/>
      <c r="O101" s="63"/>
      <c r="P101" s="63"/>
      <c r="Q101" s="63"/>
      <c r="R101" s="63"/>
      <c r="S101" s="63"/>
      <c r="T101" s="63"/>
      <c r="U101" s="63"/>
      <c r="V101" s="63"/>
      <c r="W101" s="63"/>
      <c r="X101" s="117"/>
      <c r="Y101" s="173"/>
      <c r="Z101" s="63"/>
    </row>
    <row r="102" ht="14.25" customHeight="1">
      <c r="B102" s="148"/>
      <c r="C102" s="144"/>
      <c r="D102" s="183"/>
      <c r="E102" s="118" t="s">
        <v>845</v>
      </c>
      <c r="F102" s="118" t="s">
        <v>1289</v>
      </c>
      <c r="L102" s="61"/>
      <c r="M102" s="63"/>
      <c r="N102" s="63">
        <v>2.0</v>
      </c>
      <c r="O102" s="63">
        <v>3.0</v>
      </c>
      <c r="P102" s="63">
        <v>4.0</v>
      </c>
      <c r="Q102" s="63">
        <v>1.0</v>
      </c>
      <c r="R102" s="63"/>
      <c r="S102" s="63"/>
      <c r="T102" s="63">
        <v>1.0</v>
      </c>
      <c r="U102" s="63">
        <v>1.0</v>
      </c>
      <c r="V102" s="63"/>
      <c r="W102" s="63"/>
      <c r="X102" s="117"/>
      <c r="Y102" s="173"/>
      <c r="Z102" s="63"/>
    </row>
    <row r="103" ht="14.25" customHeight="1">
      <c r="B103" s="148"/>
      <c r="C103" s="70"/>
      <c r="D103" s="154"/>
      <c r="E103" s="118" t="s">
        <v>847</v>
      </c>
      <c r="F103" s="118" t="s">
        <v>1290</v>
      </c>
      <c r="L103" s="61"/>
      <c r="M103" s="63"/>
      <c r="N103" s="63"/>
      <c r="O103" s="63"/>
      <c r="P103" s="63"/>
      <c r="Q103" s="63"/>
      <c r="R103" s="63"/>
      <c r="S103" s="63"/>
      <c r="T103" s="63"/>
      <c r="U103" s="63"/>
      <c r="V103" s="63"/>
      <c r="W103" s="63"/>
      <c r="X103" s="117"/>
      <c r="Y103" s="173"/>
      <c r="Z103" s="63"/>
    </row>
    <row r="104" ht="14.25" customHeight="1">
      <c r="B104" s="148"/>
      <c r="C104" s="77" t="s">
        <v>924</v>
      </c>
      <c r="D104" s="154" t="s">
        <v>1133</v>
      </c>
      <c r="L104" s="61"/>
      <c r="M104" s="63"/>
      <c r="N104" s="63"/>
      <c r="O104" s="63"/>
      <c r="P104" s="63"/>
      <c r="Q104" s="63"/>
      <c r="R104" s="63"/>
      <c r="S104" s="63"/>
      <c r="T104" s="63"/>
      <c r="U104" s="63"/>
      <c r="V104" s="63"/>
      <c r="W104" s="63"/>
      <c r="X104" s="117"/>
      <c r="Y104" s="173"/>
      <c r="Z104" s="63"/>
    </row>
    <row r="105" ht="14.25" customHeight="1">
      <c r="B105" s="148"/>
      <c r="C105" s="77"/>
      <c r="D105" s="154" t="s">
        <v>1139</v>
      </c>
      <c r="E105" s="118" t="s">
        <v>1135</v>
      </c>
      <c r="L105" s="61"/>
      <c r="M105" s="63"/>
      <c r="N105" s="63"/>
      <c r="O105" s="63"/>
      <c r="P105" s="63"/>
      <c r="Q105" s="63"/>
      <c r="R105" s="63"/>
      <c r="S105" s="63"/>
      <c r="T105" s="63"/>
      <c r="U105" s="63"/>
      <c r="V105" s="63"/>
      <c r="W105" s="63"/>
      <c r="X105" s="117"/>
      <c r="Y105" s="173"/>
      <c r="Z105" s="63"/>
    </row>
    <row r="106" ht="14.25" customHeight="1">
      <c r="B106" s="148"/>
      <c r="C106" s="77"/>
      <c r="D106" s="154"/>
      <c r="E106" s="118" t="s">
        <v>845</v>
      </c>
      <c r="F106" s="118" t="s">
        <v>1292</v>
      </c>
      <c r="L106" s="61"/>
      <c r="M106" s="63"/>
      <c r="N106" s="63">
        <v>2.0</v>
      </c>
      <c r="O106" s="63">
        <v>3.0</v>
      </c>
      <c r="P106" s="63">
        <v>3.0</v>
      </c>
      <c r="Q106" s="63">
        <v>2.0</v>
      </c>
      <c r="R106" s="63"/>
      <c r="S106" s="63">
        <v>2.0</v>
      </c>
      <c r="T106" s="63"/>
      <c r="U106" s="63">
        <v>2.0</v>
      </c>
      <c r="V106" s="63"/>
      <c r="W106" s="63"/>
      <c r="X106" s="117"/>
      <c r="Y106" s="173"/>
      <c r="Z106" s="63"/>
    </row>
    <row r="107" ht="14.25" customHeight="1">
      <c r="B107" s="148"/>
      <c r="C107" s="144"/>
      <c r="D107" s="183"/>
      <c r="E107" s="118" t="s">
        <v>847</v>
      </c>
      <c r="F107" s="118" t="s">
        <v>1293</v>
      </c>
      <c r="L107" s="61"/>
      <c r="M107" s="63"/>
      <c r="N107" s="63"/>
      <c r="O107" s="63"/>
      <c r="P107" s="63"/>
      <c r="Q107" s="63"/>
      <c r="R107" s="63"/>
      <c r="S107" s="63"/>
      <c r="T107" s="63">
        <v>1.0</v>
      </c>
      <c r="U107" s="63"/>
      <c r="V107" s="63"/>
      <c r="W107" s="63"/>
      <c r="X107" s="117"/>
      <c r="Y107" s="173"/>
      <c r="Z107" s="63"/>
    </row>
    <row r="108" ht="14.25" customHeight="1">
      <c r="B108" s="148"/>
      <c r="C108" s="70"/>
      <c r="D108" s="154" t="s">
        <v>1141</v>
      </c>
      <c r="E108" s="118" t="s">
        <v>1137</v>
      </c>
      <c r="L108" s="61"/>
      <c r="M108" s="63"/>
      <c r="N108" s="63"/>
      <c r="O108" s="63"/>
      <c r="P108" s="63"/>
      <c r="Q108" s="63"/>
      <c r="R108" s="63"/>
      <c r="S108" s="63"/>
      <c r="T108" s="63"/>
      <c r="U108" s="63"/>
      <c r="V108" s="63"/>
      <c r="W108" s="63"/>
      <c r="X108" s="117"/>
      <c r="Y108" s="173"/>
      <c r="Z108" s="63"/>
    </row>
    <row r="109" ht="14.25" customHeight="1">
      <c r="B109" s="148"/>
      <c r="C109" s="77"/>
      <c r="D109" s="154"/>
      <c r="E109" s="118" t="s">
        <v>845</v>
      </c>
      <c r="F109" s="118" t="s">
        <v>1292</v>
      </c>
      <c r="L109" s="61"/>
      <c r="M109" s="63"/>
      <c r="N109" s="63">
        <v>2.0</v>
      </c>
      <c r="O109" s="63">
        <v>3.0</v>
      </c>
      <c r="P109" s="63">
        <v>3.0</v>
      </c>
      <c r="Q109" s="63">
        <v>2.0</v>
      </c>
      <c r="R109" s="63"/>
      <c r="S109" s="63"/>
      <c r="T109" s="63"/>
      <c r="U109" s="63">
        <v>1.0</v>
      </c>
      <c r="V109" s="63"/>
      <c r="W109" s="63"/>
      <c r="X109" s="117"/>
      <c r="Y109" s="173"/>
      <c r="Z109" s="63"/>
    </row>
    <row r="110" ht="14.25" customHeight="1">
      <c r="B110" s="148"/>
      <c r="C110" s="75"/>
      <c r="D110" s="183"/>
      <c r="E110" s="118" t="s">
        <v>847</v>
      </c>
      <c r="F110" s="118" t="s">
        <v>1293</v>
      </c>
      <c r="L110" s="61"/>
      <c r="M110" s="63"/>
      <c r="N110" s="63"/>
      <c r="O110" s="63"/>
      <c r="P110" s="63"/>
      <c r="Q110" s="63"/>
      <c r="R110" s="63"/>
      <c r="S110" s="63"/>
      <c r="T110" s="63"/>
      <c r="U110" s="63"/>
      <c r="V110" s="63"/>
      <c r="W110" s="63"/>
      <c r="X110" s="117"/>
      <c r="Y110" s="173"/>
      <c r="Z110" s="63"/>
    </row>
    <row r="111" ht="14.25" customHeight="1">
      <c r="B111" s="148"/>
      <c r="C111" s="144"/>
      <c r="D111" s="183" t="s">
        <v>1294</v>
      </c>
      <c r="E111" s="70" t="s">
        <v>1295</v>
      </c>
      <c r="L111" s="61"/>
      <c r="M111" s="63"/>
      <c r="N111" s="63"/>
      <c r="O111" s="63"/>
      <c r="P111" s="63"/>
      <c r="Q111" s="63"/>
      <c r="R111" s="63"/>
      <c r="S111" s="63"/>
      <c r="T111" s="63"/>
      <c r="U111" s="63"/>
      <c r="V111" s="63"/>
      <c r="W111" s="63"/>
      <c r="X111" s="117"/>
      <c r="Y111" s="173"/>
      <c r="Z111" s="63"/>
    </row>
    <row r="112" ht="14.25" customHeight="1">
      <c r="B112" s="148"/>
      <c r="C112" s="144"/>
      <c r="D112" s="183"/>
      <c r="E112" s="70" t="s">
        <v>1296</v>
      </c>
      <c r="L112" s="61"/>
      <c r="M112" s="63"/>
      <c r="N112" s="63"/>
      <c r="O112" s="63"/>
      <c r="P112" s="63"/>
      <c r="Q112" s="63"/>
      <c r="R112" s="63"/>
      <c r="S112" s="63"/>
      <c r="T112" s="63"/>
      <c r="U112" s="63"/>
      <c r="V112" s="63"/>
      <c r="W112" s="63"/>
      <c r="X112" s="117"/>
      <c r="Y112" s="173"/>
      <c r="Z112" s="63"/>
    </row>
    <row r="113" ht="14.25" customHeight="1">
      <c r="B113" s="148"/>
      <c r="C113" s="144"/>
      <c r="D113" s="183"/>
      <c r="E113" s="70" t="s">
        <v>845</v>
      </c>
      <c r="F113" s="118" t="s">
        <v>1292</v>
      </c>
      <c r="L113" s="61"/>
      <c r="M113" s="63"/>
      <c r="N113" s="63"/>
      <c r="O113" s="63"/>
      <c r="P113" s="63"/>
      <c r="Q113" s="63"/>
      <c r="R113" s="63"/>
      <c r="S113" s="63"/>
      <c r="T113" s="63"/>
      <c r="U113" s="63"/>
      <c r="V113" s="63"/>
      <c r="W113" s="63"/>
      <c r="X113" s="117"/>
      <c r="Y113" s="173"/>
      <c r="Z113" s="63"/>
    </row>
    <row r="114" ht="14.25" customHeight="1">
      <c r="B114" s="69"/>
      <c r="C114" s="70"/>
      <c r="D114" s="143"/>
      <c r="E114" s="621" t="s">
        <v>847</v>
      </c>
      <c r="F114" s="118" t="s">
        <v>1297</v>
      </c>
      <c r="L114" s="61"/>
      <c r="M114" s="63"/>
      <c r="N114" s="63"/>
      <c r="O114" s="63"/>
      <c r="P114" s="63"/>
      <c r="Q114" s="63"/>
      <c r="R114" s="63"/>
      <c r="S114" s="63"/>
      <c r="T114" s="63"/>
      <c r="U114" s="63">
        <v>1.0</v>
      </c>
      <c r="V114" s="63"/>
      <c r="W114" s="63"/>
      <c r="X114" s="117"/>
      <c r="Y114" s="173"/>
      <c r="Z114" s="63"/>
    </row>
    <row r="115" ht="14.25" customHeight="1">
      <c r="B115" s="148"/>
      <c r="C115" s="214" t="s">
        <v>926</v>
      </c>
      <c r="D115" s="144" t="s">
        <v>1298</v>
      </c>
      <c r="E115" s="144"/>
      <c r="L115" s="61"/>
      <c r="M115" s="63"/>
      <c r="N115" s="63"/>
      <c r="O115" s="63"/>
      <c r="P115" s="63"/>
      <c r="Q115" s="63"/>
      <c r="R115" s="63"/>
      <c r="S115" s="63"/>
      <c r="T115" s="63"/>
      <c r="U115" s="63"/>
      <c r="V115" s="63"/>
      <c r="W115" s="63"/>
      <c r="X115" s="117"/>
      <c r="Y115" s="173"/>
      <c r="Z115" s="63"/>
    </row>
    <row r="116" ht="14.25" customHeight="1">
      <c r="B116" s="69"/>
      <c r="C116" s="70"/>
      <c r="D116" s="70" t="s">
        <v>1299</v>
      </c>
      <c r="E116" s="118" t="s">
        <v>1135</v>
      </c>
      <c r="L116" s="61"/>
      <c r="M116" s="63"/>
      <c r="N116" s="63"/>
      <c r="O116" s="63"/>
      <c r="P116" s="63"/>
      <c r="Q116" s="63"/>
      <c r="R116" s="63"/>
      <c r="S116" s="63"/>
      <c r="T116" s="63"/>
      <c r="U116" s="63"/>
      <c r="V116" s="63"/>
      <c r="W116" s="63"/>
      <c r="X116" s="117"/>
      <c r="Y116" s="173"/>
      <c r="Z116" s="63"/>
    </row>
    <row r="117" ht="14.25" customHeight="1">
      <c r="B117" s="148"/>
      <c r="C117" s="70"/>
      <c r="D117" s="197"/>
      <c r="E117" s="118" t="s">
        <v>845</v>
      </c>
      <c r="F117" s="118" t="s">
        <v>1300</v>
      </c>
      <c r="L117" s="61"/>
      <c r="M117" s="63"/>
      <c r="N117" s="63"/>
      <c r="O117" s="63"/>
      <c r="P117" s="63"/>
      <c r="Q117" s="63"/>
      <c r="R117" s="63"/>
      <c r="S117" s="63"/>
      <c r="T117" s="63"/>
      <c r="U117" s="63"/>
      <c r="V117" s="63"/>
      <c r="W117" s="63"/>
      <c r="X117" s="117"/>
      <c r="Y117" s="173"/>
      <c r="Z117" s="63"/>
    </row>
    <row r="118" ht="14.25" customHeight="1">
      <c r="B118" s="148"/>
      <c r="C118" s="70"/>
      <c r="D118" s="197">
        <v>4.2</v>
      </c>
      <c r="E118" s="118" t="s">
        <v>1301</v>
      </c>
      <c r="L118" s="61"/>
      <c r="M118" s="63"/>
      <c r="N118" s="63"/>
      <c r="O118" s="63"/>
      <c r="P118" s="63"/>
      <c r="Q118" s="63"/>
      <c r="R118" s="63"/>
      <c r="S118" s="63"/>
      <c r="T118" s="63"/>
      <c r="U118" s="63"/>
      <c r="V118" s="63"/>
      <c r="W118" s="63"/>
      <c r="X118" s="117"/>
      <c r="Y118" s="173"/>
      <c r="Z118" s="63"/>
    </row>
    <row r="119" ht="14.25" customHeight="1">
      <c r="B119" s="148"/>
      <c r="C119" s="70"/>
      <c r="D119" s="197"/>
      <c r="E119" s="118" t="s">
        <v>1302</v>
      </c>
      <c r="F119" s="118" t="s">
        <v>1300</v>
      </c>
      <c r="L119" s="61"/>
      <c r="M119" s="63"/>
      <c r="N119" s="63"/>
      <c r="O119" s="63"/>
      <c r="P119" s="63"/>
      <c r="Q119" s="63"/>
      <c r="R119" s="63"/>
      <c r="S119" s="63"/>
      <c r="T119" s="63"/>
      <c r="U119" s="63"/>
      <c r="V119" s="63"/>
      <c r="W119" s="63"/>
      <c r="X119" s="117"/>
      <c r="Y119" s="173"/>
      <c r="Z119" s="63"/>
    </row>
    <row r="120" ht="14.25" customHeight="1">
      <c r="B120" s="148"/>
      <c r="C120" s="70">
        <v>5.0</v>
      </c>
      <c r="D120" s="70" t="s">
        <v>1303</v>
      </c>
      <c r="L120" s="61"/>
      <c r="M120" s="63"/>
      <c r="N120" s="63"/>
      <c r="O120" s="63"/>
      <c r="P120" s="63"/>
      <c r="Q120" s="63"/>
      <c r="R120" s="63"/>
      <c r="S120" s="63"/>
      <c r="T120" s="63"/>
      <c r="U120" s="63"/>
      <c r="V120" s="63"/>
      <c r="W120" s="63"/>
      <c r="X120" s="117"/>
      <c r="Y120" s="173"/>
      <c r="Z120" s="63"/>
    </row>
    <row r="121" ht="14.25" customHeight="1">
      <c r="B121" s="148"/>
      <c r="C121" s="70"/>
      <c r="D121" s="70">
        <v>5.1</v>
      </c>
      <c r="E121" s="118" t="s">
        <v>1304</v>
      </c>
      <c r="L121" s="61"/>
      <c r="M121" s="63"/>
      <c r="N121" s="63"/>
      <c r="O121" s="63"/>
      <c r="P121" s="63"/>
      <c r="Q121" s="63"/>
      <c r="R121" s="63"/>
      <c r="S121" s="63"/>
      <c r="T121" s="63"/>
      <c r="U121" s="63"/>
      <c r="V121" s="63"/>
      <c r="W121" s="63"/>
      <c r="X121" s="117"/>
      <c r="Y121" s="173"/>
      <c r="Z121" s="63"/>
    </row>
    <row r="122" ht="14.25" customHeight="1">
      <c r="B122" s="148"/>
      <c r="C122" s="70"/>
      <c r="D122" s="70"/>
      <c r="E122" s="118" t="s">
        <v>1302</v>
      </c>
      <c r="F122" s="118" t="s">
        <v>1305</v>
      </c>
      <c r="L122" s="61"/>
      <c r="M122" s="63"/>
      <c r="N122" s="63">
        <v>40.0</v>
      </c>
      <c r="O122" s="63">
        <v>50.0</v>
      </c>
      <c r="P122" s="63">
        <v>50.0</v>
      </c>
      <c r="Q122" s="63">
        <v>50.0</v>
      </c>
      <c r="R122" s="63"/>
      <c r="S122" s="63">
        <v>19.0</v>
      </c>
      <c r="T122" s="63">
        <v>18.0</v>
      </c>
      <c r="U122" s="63">
        <v>210.0</v>
      </c>
      <c r="V122" s="63"/>
      <c r="W122" s="63"/>
      <c r="X122" s="117"/>
      <c r="Y122" s="173"/>
      <c r="Z122" s="63"/>
    </row>
    <row r="123" ht="14.25" customHeight="1">
      <c r="B123" s="148"/>
      <c r="C123" s="70"/>
      <c r="D123" s="70"/>
      <c r="E123" s="118" t="s">
        <v>847</v>
      </c>
      <c r="F123" s="118" t="s">
        <v>1306</v>
      </c>
      <c r="L123" s="61"/>
      <c r="M123" s="63"/>
      <c r="N123" s="63">
        <v>1.0</v>
      </c>
      <c r="O123" s="63">
        <v>1.0</v>
      </c>
      <c r="P123" s="63">
        <v>1.0</v>
      </c>
      <c r="Q123" s="63">
        <v>1.0</v>
      </c>
      <c r="R123" s="63"/>
      <c r="S123" s="63"/>
      <c r="T123" s="63"/>
      <c r="U123" s="63"/>
      <c r="V123" s="63"/>
      <c r="W123" s="63"/>
      <c r="X123" s="117"/>
      <c r="Y123" s="173"/>
      <c r="Z123" s="63"/>
    </row>
    <row r="124" ht="14.25" customHeight="1">
      <c r="B124" s="148"/>
      <c r="C124" s="70"/>
      <c r="D124" s="70"/>
      <c r="E124" s="118" t="s">
        <v>849</v>
      </c>
      <c r="F124" s="118" t="s">
        <v>1307</v>
      </c>
      <c r="L124" s="61"/>
      <c r="M124" s="63"/>
      <c r="N124" s="63"/>
      <c r="O124" s="63"/>
      <c r="P124" s="63"/>
      <c r="Q124" s="63"/>
      <c r="R124" s="63"/>
      <c r="S124" s="63"/>
      <c r="T124" s="63"/>
      <c r="U124" s="63"/>
      <c r="V124" s="63"/>
      <c r="W124" s="63"/>
      <c r="X124" s="117"/>
      <c r="Y124" s="173"/>
      <c r="Z124" s="63"/>
    </row>
    <row r="125" ht="14.25" customHeight="1">
      <c r="B125" s="148"/>
      <c r="C125" s="70"/>
      <c r="D125" s="70"/>
      <c r="E125" s="118" t="s">
        <v>858</v>
      </c>
      <c r="F125" s="118" t="s">
        <v>1308</v>
      </c>
      <c r="L125" s="61"/>
      <c r="M125" s="63"/>
      <c r="N125" s="63"/>
      <c r="O125" s="63"/>
      <c r="P125" s="63"/>
      <c r="Q125" s="63"/>
      <c r="R125" s="63"/>
      <c r="S125" s="63">
        <v>2.0</v>
      </c>
      <c r="T125" s="63">
        <v>1.0</v>
      </c>
      <c r="U125" s="63">
        <v>4.0</v>
      </c>
      <c r="V125" s="63"/>
      <c r="W125" s="63"/>
      <c r="X125" s="117"/>
      <c r="Y125" s="173"/>
      <c r="Z125" s="63"/>
    </row>
    <row r="126" ht="14.25" customHeight="1">
      <c r="B126" s="148"/>
      <c r="C126" s="70"/>
      <c r="D126" s="70" t="s">
        <v>1309</v>
      </c>
      <c r="E126" s="118" t="s">
        <v>1310</v>
      </c>
      <c r="L126" s="61"/>
      <c r="M126" s="63"/>
      <c r="N126" s="63"/>
      <c r="O126" s="63"/>
      <c r="P126" s="63"/>
      <c r="Q126" s="63"/>
      <c r="R126" s="63"/>
      <c r="S126" s="63"/>
      <c r="T126" s="63"/>
      <c r="U126" s="63"/>
      <c r="V126" s="63"/>
      <c r="W126" s="63"/>
      <c r="X126" s="117"/>
      <c r="Y126" s="173"/>
      <c r="Z126" s="63"/>
    </row>
    <row r="127" ht="14.25" customHeight="1">
      <c r="B127" s="148"/>
      <c r="C127" s="70"/>
      <c r="D127" s="70"/>
      <c r="E127" s="118" t="s">
        <v>1302</v>
      </c>
      <c r="F127" s="118" t="s">
        <v>1311</v>
      </c>
      <c r="L127" s="61"/>
      <c r="M127" s="63"/>
      <c r="N127" s="63">
        <v>40.0</v>
      </c>
      <c r="O127" s="63">
        <v>40.0</v>
      </c>
      <c r="P127" s="63">
        <v>60.0</v>
      </c>
      <c r="Q127" s="63">
        <v>60.0</v>
      </c>
      <c r="R127" s="63"/>
      <c r="S127" s="63">
        <v>19.0</v>
      </c>
      <c r="T127" s="63">
        <v>18.0</v>
      </c>
      <c r="U127" s="63">
        <v>210.0</v>
      </c>
      <c r="V127" s="63"/>
      <c r="W127" s="63"/>
      <c r="X127" s="117"/>
      <c r="Y127" s="173"/>
      <c r="Z127" s="63"/>
    </row>
    <row r="128" ht="14.25" customHeight="1">
      <c r="B128" s="148"/>
      <c r="C128" s="70"/>
      <c r="D128" s="70"/>
      <c r="E128" s="118" t="s">
        <v>847</v>
      </c>
      <c r="F128" s="118" t="s">
        <v>1312</v>
      </c>
      <c r="L128" s="61"/>
      <c r="M128" s="63"/>
      <c r="N128" s="63"/>
      <c r="O128" s="63"/>
      <c r="P128" s="63"/>
      <c r="Q128" s="63"/>
      <c r="R128" s="63"/>
      <c r="S128" s="63"/>
      <c r="T128" s="63"/>
      <c r="U128" s="63"/>
      <c r="V128" s="63"/>
      <c r="W128" s="63"/>
      <c r="X128" s="117"/>
      <c r="Y128" s="173"/>
      <c r="Z128" s="63"/>
    </row>
    <row r="129" ht="14.25" customHeight="1">
      <c r="B129" s="148"/>
      <c r="C129" s="70"/>
      <c r="D129" s="70"/>
      <c r="E129" s="118" t="s">
        <v>849</v>
      </c>
      <c r="F129" s="118" t="s">
        <v>1307</v>
      </c>
      <c r="L129" s="61"/>
      <c r="M129" s="63"/>
      <c r="N129" s="63"/>
      <c r="O129" s="63"/>
      <c r="P129" s="63"/>
      <c r="Q129" s="63"/>
      <c r="R129" s="63"/>
      <c r="S129" s="63"/>
      <c r="T129" s="63"/>
      <c r="U129" s="63"/>
      <c r="V129" s="63"/>
      <c r="W129" s="63"/>
      <c r="X129" s="117"/>
      <c r="Y129" s="173"/>
      <c r="Z129" s="63"/>
    </row>
    <row r="130" ht="14.25" customHeight="1">
      <c r="B130" s="148"/>
      <c r="C130" s="70"/>
      <c r="D130" s="70"/>
      <c r="E130" s="77" t="s">
        <v>858</v>
      </c>
      <c r="F130" s="118" t="s">
        <v>1313</v>
      </c>
      <c r="L130" s="61"/>
      <c r="M130" s="63"/>
      <c r="N130" s="63"/>
      <c r="O130" s="63"/>
      <c r="P130" s="63"/>
      <c r="Q130" s="63"/>
      <c r="R130" s="63"/>
      <c r="S130" s="63"/>
      <c r="T130" s="63"/>
      <c r="U130" s="63"/>
      <c r="V130" s="63"/>
      <c r="W130" s="63"/>
      <c r="X130" s="117"/>
      <c r="Y130" s="173"/>
      <c r="Z130" s="63"/>
    </row>
    <row r="131" ht="14.25" customHeight="1">
      <c r="B131" s="148"/>
      <c r="C131" s="183"/>
      <c r="D131" s="144">
        <v>5.3</v>
      </c>
      <c r="E131" s="144" t="s">
        <v>1314</v>
      </c>
      <c r="L131" s="61"/>
      <c r="M131" s="63"/>
      <c r="N131" s="63"/>
      <c r="O131" s="63"/>
      <c r="P131" s="63"/>
      <c r="Q131" s="63"/>
      <c r="R131" s="63"/>
      <c r="S131" s="63"/>
      <c r="T131" s="63"/>
      <c r="U131" s="63"/>
      <c r="V131" s="63"/>
      <c r="W131" s="63"/>
      <c r="X131" s="117"/>
      <c r="Y131" s="173"/>
      <c r="Z131" s="63"/>
    </row>
    <row r="132" ht="14.25" customHeight="1">
      <c r="B132" s="69"/>
      <c r="C132" s="70"/>
      <c r="D132" s="70"/>
      <c r="E132" s="118" t="s">
        <v>1315</v>
      </c>
      <c r="L132" s="61"/>
      <c r="M132" s="63"/>
      <c r="N132" s="63"/>
      <c r="O132" s="63"/>
      <c r="P132" s="63"/>
      <c r="Q132" s="63"/>
      <c r="R132" s="63"/>
      <c r="S132" s="63"/>
      <c r="T132" s="63"/>
      <c r="U132" s="63"/>
      <c r="V132" s="63"/>
      <c r="W132" s="63"/>
      <c r="X132" s="117"/>
      <c r="Y132" s="173"/>
      <c r="Z132" s="63"/>
    </row>
    <row r="133" ht="14.25" customHeight="1">
      <c r="B133" s="69"/>
      <c r="C133" s="70">
        <v>6.0</v>
      </c>
      <c r="D133" s="70" t="s">
        <v>1316</v>
      </c>
      <c r="L133" s="61"/>
      <c r="M133" s="63"/>
      <c r="N133" s="63"/>
      <c r="O133" s="63"/>
      <c r="P133" s="63"/>
      <c r="Q133" s="63"/>
      <c r="R133" s="63"/>
      <c r="S133" s="63"/>
      <c r="T133" s="63"/>
      <c r="U133" s="63"/>
      <c r="V133" s="63"/>
      <c r="W133" s="63"/>
      <c r="X133" s="117"/>
      <c r="Y133" s="173"/>
      <c r="Z133" s="63"/>
    </row>
    <row r="134" ht="14.25" customHeight="1">
      <c r="B134" s="69"/>
      <c r="C134" s="70"/>
      <c r="D134" s="70" t="s">
        <v>1160</v>
      </c>
      <c r="E134" s="118" t="s">
        <v>1317</v>
      </c>
      <c r="L134" s="61"/>
      <c r="M134" s="63"/>
      <c r="N134" s="63">
        <v>40.0</v>
      </c>
      <c r="O134" s="63">
        <v>40.0</v>
      </c>
      <c r="P134" s="63">
        <v>60.0</v>
      </c>
      <c r="Q134" s="63">
        <v>60.0</v>
      </c>
      <c r="R134" s="63"/>
      <c r="S134" s="63">
        <v>19.0</v>
      </c>
      <c r="T134" s="63"/>
      <c r="U134" s="63"/>
      <c r="V134" s="63"/>
      <c r="W134" s="63"/>
      <c r="X134" s="117"/>
      <c r="Y134" s="173"/>
      <c r="Z134" s="63"/>
    </row>
    <row r="135" ht="14.25" customHeight="1">
      <c r="B135" s="69"/>
      <c r="C135" s="70"/>
      <c r="D135" s="70" t="s">
        <v>1162</v>
      </c>
      <c r="E135" s="118" t="s">
        <v>1318</v>
      </c>
      <c r="L135" s="61"/>
      <c r="M135" s="63"/>
      <c r="N135" s="63">
        <v>2.0</v>
      </c>
      <c r="O135" s="63">
        <v>3.0</v>
      </c>
      <c r="P135" s="63">
        <v>3.0</v>
      </c>
      <c r="Q135" s="63">
        <v>2.0</v>
      </c>
      <c r="R135" s="63"/>
      <c r="S135" s="63">
        <v>5.0</v>
      </c>
      <c r="T135" s="63">
        <v>3.0</v>
      </c>
      <c r="U135" s="63">
        <v>4.0</v>
      </c>
      <c r="V135" s="63"/>
      <c r="W135" s="63"/>
      <c r="X135" s="117"/>
      <c r="Y135" s="173"/>
      <c r="Z135" s="63"/>
    </row>
    <row r="136" ht="14.25" customHeight="1">
      <c r="B136" s="69"/>
      <c r="C136" s="70"/>
      <c r="D136" s="70" t="s">
        <v>1164</v>
      </c>
      <c r="E136" s="118" t="s">
        <v>1319</v>
      </c>
      <c r="L136" s="61"/>
      <c r="M136" s="63"/>
      <c r="N136" s="63">
        <v>5.0</v>
      </c>
      <c r="O136" s="63">
        <v>5.0</v>
      </c>
      <c r="P136" s="63">
        <v>5.0</v>
      </c>
      <c r="Q136" s="63">
        <v>5.0</v>
      </c>
      <c r="R136" s="63"/>
      <c r="S136" s="63">
        <v>17.0</v>
      </c>
      <c r="T136" s="63"/>
      <c r="U136" s="63">
        <v>17.0</v>
      </c>
      <c r="V136" s="63"/>
      <c r="W136" s="63"/>
      <c r="X136" s="117"/>
      <c r="Y136" s="173"/>
      <c r="Z136" s="63"/>
    </row>
    <row r="137" ht="14.25" customHeight="1">
      <c r="B137" s="69"/>
      <c r="C137" s="70"/>
      <c r="D137" s="70" t="s">
        <v>1320</v>
      </c>
      <c r="E137" s="118" t="s">
        <v>1321</v>
      </c>
      <c r="L137" s="61"/>
      <c r="M137" s="63"/>
      <c r="N137" s="63"/>
      <c r="O137" s="63"/>
      <c r="P137" s="63"/>
      <c r="Q137" s="63"/>
      <c r="R137" s="63"/>
      <c r="S137" s="63"/>
      <c r="T137" s="63"/>
      <c r="U137" s="63"/>
      <c r="V137" s="63"/>
      <c r="W137" s="63"/>
      <c r="X137" s="117"/>
      <c r="Y137" s="173"/>
      <c r="Z137" s="63"/>
    </row>
    <row r="138" ht="14.25" customHeight="1">
      <c r="B138" s="69"/>
      <c r="C138" s="91" t="s">
        <v>1167</v>
      </c>
      <c r="D138" s="70" t="s">
        <v>1322</v>
      </c>
      <c r="L138" s="61"/>
      <c r="M138" s="63"/>
      <c r="N138" s="63"/>
      <c r="O138" s="63"/>
      <c r="P138" s="63"/>
      <c r="Q138" s="63"/>
      <c r="R138" s="63"/>
      <c r="S138" s="63"/>
      <c r="T138" s="63"/>
      <c r="U138" s="63"/>
      <c r="V138" s="63"/>
      <c r="W138" s="63"/>
      <c r="X138" s="117"/>
      <c r="Y138" s="173"/>
      <c r="Z138" s="63"/>
    </row>
    <row r="139" ht="14.25" customHeight="1">
      <c r="B139" s="69"/>
      <c r="C139" s="70"/>
      <c r="D139" s="70" t="s">
        <v>1169</v>
      </c>
      <c r="E139" s="118" t="s">
        <v>1323</v>
      </c>
      <c r="L139" s="61"/>
      <c r="M139" s="63"/>
      <c r="N139" s="63"/>
      <c r="O139" s="63"/>
      <c r="P139" s="63"/>
      <c r="Q139" s="63"/>
      <c r="R139" s="63"/>
      <c r="S139" s="63"/>
      <c r="T139" s="63"/>
      <c r="U139" s="63"/>
      <c r="V139" s="63"/>
      <c r="W139" s="63"/>
      <c r="X139" s="117"/>
      <c r="Y139" s="173"/>
      <c r="Z139" s="63"/>
    </row>
    <row r="140" ht="14.25" customHeight="1">
      <c r="B140" s="69"/>
      <c r="C140" s="70"/>
      <c r="D140" s="70" t="s">
        <v>1171</v>
      </c>
      <c r="E140" s="118" t="s">
        <v>1324</v>
      </c>
      <c r="L140" s="61"/>
      <c r="M140" s="63"/>
      <c r="N140" s="63"/>
      <c r="O140" s="63"/>
      <c r="P140" s="63"/>
      <c r="Q140" s="63"/>
      <c r="R140" s="63"/>
      <c r="S140" s="63"/>
      <c r="T140" s="63"/>
      <c r="U140" s="63"/>
      <c r="V140" s="63"/>
      <c r="W140" s="63"/>
      <c r="X140" s="117"/>
      <c r="Y140" s="173"/>
      <c r="Z140" s="63"/>
    </row>
    <row r="141" ht="14.25" customHeight="1">
      <c r="B141" s="69"/>
      <c r="C141" s="91" t="s">
        <v>1175</v>
      </c>
      <c r="D141" s="70" t="s">
        <v>1325</v>
      </c>
      <c r="L141" s="61"/>
      <c r="M141" s="63"/>
      <c r="N141" s="63"/>
      <c r="O141" s="63"/>
      <c r="P141" s="63"/>
      <c r="Q141" s="63"/>
      <c r="R141" s="63"/>
      <c r="S141" s="63"/>
      <c r="T141" s="63"/>
      <c r="U141" s="63"/>
      <c r="V141" s="63"/>
      <c r="W141" s="63"/>
      <c r="X141" s="117"/>
      <c r="Y141" s="173"/>
      <c r="Z141" s="63"/>
    </row>
    <row r="142" ht="14.25" customHeight="1">
      <c r="B142" s="69"/>
      <c r="C142" s="91" t="s">
        <v>1326</v>
      </c>
      <c r="D142" s="70" t="s">
        <v>1327</v>
      </c>
      <c r="L142" s="61"/>
      <c r="M142" s="63"/>
      <c r="N142" s="63"/>
      <c r="O142" s="63"/>
      <c r="P142" s="63"/>
      <c r="Q142" s="63"/>
      <c r="R142" s="63"/>
      <c r="S142" s="63"/>
      <c r="T142" s="63"/>
      <c r="U142" s="63"/>
      <c r="V142" s="63"/>
      <c r="W142" s="63"/>
      <c r="X142" s="117"/>
      <c r="Y142" s="173"/>
      <c r="Z142" s="63"/>
    </row>
    <row r="143" ht="14.25" customHeight="1">
      <c r="B143" s="69"/>
      <c r="C143" s="70"/>
      <c r="D143" s="70" t="s">
        <v>1328</v>
      </c>
      <c r="L143" s="61"/>
      <c r="M143" s="63"/>
      <c r="N143" s="63"/>
      <c r="O143" s="63"/>
      <c r="P143" s="63"/>
      <c r="Q143" s="63"/>
      <c r="R143" s="63"/>
      <c r="S143" s="63"/>
      <c r="T143" s="63"/>
      <c r="U143" s="63"/>
      <c r="V143" s="63"/>
      <c r="W143" s="63"/>
      <c r="X143" s="117"/>
      <c r="Y143" s="173"/>
      <c r="Z143" s="63"/>
    </row>
    <row r="144" ht="14.25" customHeight="1">
      <c r="B144" s="69"/>
      <c r="C144" s="70"/>
      <c r="D144" s="70" t="s">
        <v>1329</v>
      </c>
      <c r="E144" s="118" t="s">
        <v>1330</v>
      </c>
      <c r="L144" s="61"/>
      <c r="M144" s="63"/>
      <c r="N144" s="63"/>
      <c r="O144" s="63"/>
      <c r="P144" s="63"/>
      <c r="Q144" s="63"/>
      <c r="R144" s="63"/>
      <c r="S144" s="63"/>
      <c r="T144" s="63"/>
      <c r="U144" s="63"/>
      <c r="V144" s="63"/>
      <c r="W144" s="63"/>
      <c r="X144" s="117"/>
      <c r="Y144" s="173"/>
      <c r="Z144" s="63"/>
    </row>
    <row r="145" ht="14.25" customHeight="1">
      <c r="B145" s="69"/>
      <c r="C145" s="70"/>
      <c r="D145" s="70" t="s">
        <v>1331</v>
      </c>
      <c r="E145" s="118" t="s">
        <v>1332</v>
      </c>
      <c r="L145" s="61"/>
      <c r="M145" s="63"/>
      <c r="N145" s="63"/>
      <c r="O145" s="63"/>
      <c r="P145" s="63"/>
      <c r="Q145" s="63"/>
      <c r="R145" s="63"/>
      <c r="S145" s="63"/>
      <c r="T145" s="63"/>
      <c r="U145" s="63"/>
      <c r="V145" s="63"/>
      <c r="W145" s="63"/>
      <c r="X145" s="117"/>
      <c r="Y145" s="173"/>
      <c r="Z145" s="63"/>
    </row>
    <row r="146" ht="14.25" customHeight="1">
      <c r="B146" s="69"/>
      <c r="C146" s="70"/>
      <c r="D146" s="70"/>
      <c r="L146" s="61"/>
      <c r="M146" s="63"/>
      <c r="N146" s="63"/>
      <c r="O146" s="63"/>
      <c r="P146" s="63"/>
      <c r="Q146" s="63"/>
      <c r="R146" s="63"/>
      <c r="S146" s="63"/>
      <c r="T146" s="63"/>
      <c r="U146" s="63"/>
      <c r="V146" s="63"/>
      <c r="W146" s="63"/>
      <c r="X146" s="117"/>
      <c r="Y146" s="173"/>
      <c r="Z146" s="63"/>
    </row>
    <row r="147" ht="14.25" customHeight="1">
      <c r="B147" s="148" t="s">
        <v>1104</v>
      </c>
      <c r="C147" s="70"/>
      <c r="D147" s="70"/>
      <c r="E147" s="77"/>
      <c r="L147" s="61"/>
      <c r="M147" s="63"/>
      <c r="N147" s="63"/>
      <c r="O147" s="63"/>
      <c r="P147" s="63"/>
      <c r="Q147" s="63"/>
      <c r="R147" s="63"/>
      <c r="S147" s="63"/>
      <c r="T147" s="63"/>
      <c r="U147" s="63"/>
      <c r="V147" s="63"/>
      <c r="W147" s="63"/>
      <c r="X147" s="117"/>
      <c r="Y147" s="173"/>
      <c r="Z147" s="63"/>
    </row>
    <row r="148" ht="14.25" customHeight="1">
      <c r="B148" s="148"/>
      <c r="C148" s="183"/>
      <c r="D148" s="70" t="s">
        <v>1105</v>
      </c>
      <c r="E148" s="70"/>
      <c r="L148" s="61"/>
      <c r="M148" s="63"/>
      <c r="N148" s="63"/>
      <c r="O148" s="63"/>
      <c r="P148" s="63"/>
      <c r="Q148" s="63"/>
      <c r="R148" s="63"/>
      <c r="S148" s="63"/>
      <c r="T148" s="63"/>
      <c r="U148" s="63"/>
      <c r="V148" s="63"/>
      <c r="W148" s="63"/>
      <c r="X148" s="117"/>
      <c r="Y148" s="173"/>
      <c r="Z148" s="63"/>
    </row>
    <row r="149" ht="14.25" customHeight="1">
      <c r="B149" s="69"/>
      <c r="C149" s="144"/>
      <c r="D149" s="70" t="s">
        <v>471</v>
      </c>
      <c r="E149" s="144"/>
      <c r="L149" s="61"/>
      <c r="M149" s="63"/>
      <c r="N149" s="63"/>
      <c r="O149" s="63"/>
      <c r="P149" s="63"/>
      <c r="Q149" s="63"/>
      <c r="R149" s="63"/>
      <c r="S149" s="63"/>
      <c r="T149" s="63"/>
      <c r="U149" s="63"/>
      <c r="V149" s="63"/>
      <c r="W149" s="63"/>
      <c r="X149" s="117"/>
      <c r="Y149" s="173"/>
      <c r="Z149" s="63"/>
    </row>
    <row r="150" ht="14.25" customHeight="1">
      <c r="B150" s="148"/>
      <c r="C150" s="70"/>
      <c r="D150" s="70" t="s">
        <v>1333</v>
      </c>
      <c r="L150" s="61"/>
      <c r="M150" s="63"/>
      <c r="N150" s="63"/>
      <c r="O150" s="63"/>
      <c r="P150" s="63"/>
      <c r="Q150" s="63"/>
      <c r="R150" s="63"/>
      <c r="S150" s="63"/>
      <c r="T150" s="63"/>
      <c r="U150" s="63"/>
      <c r="V150" s="63"/>
      <c r="W150" s="63"/>
      <c r="X150" s="117"/>
      <c r="Y150" s="173"/>
      <c r="Z150" s="63"/>
    </row>
    <row r="151" ht="14.25" customHeight="1">
      <c r="B151" s="148"/>
      <c r="C151" s="70"/>
      <c r="D151" s="70" t="s">
        <v>1334</v>
      </c>
      <c r="L151" s="61"/>
      <c r="M151" s="63"/>
      <c r="N151" s="63"/>
      <c r="O151" s="63"/>
      <c r="P151" s="63"/>
      <c r="Q151" s="63"/>
      <c r="R151" s="63"/>
      <c r="S151" s="63"/>
      <c r="T151" s="63"/>
      <c r="U151" s="63"/>
      <c r="V151" s="63"/>
      <c r="W151" s="63"/>
      <c r="X151" s="117"/>
      <c r="Y151" s="173"/>
      <c r="Z151" s="63"/>
    </row>
    <row r="152" ht="14.25" customHeight="1">
      <c r="B152" s="148"/>
      <c r="C152" s="70"/>
      <c r="D152" s="197"/>
      <c r="L152" s="61"/>
      <c r="M152" s="63"/>
      <c r="N152" s="63"/>
      <c r="O152" s="63"/>
      <c r="P152" s="63"/>
      <c r="Q152" s="63"/>
      <c r="R152" s="63"/>
      <c r="S152" s="63"/>
      <c r="T152" s="63"/>
      <c r="U152" s="63"/>
      <c r="V152" s="63"/>
      <c r="W152" s="63"/>
      <c r="X152" s="117"/>
      <c r="Y152" s="173"/>
      <c r="Z152" s="63"/>
    </row>
    <row r="153" ht="14.25" customHeight="1">
      <c r="B153" s="148" t="s">
        <v>1335</v>
      </c>
      <c r="C153" s="70"/>
      <c r="D153" s="70"/>
      <c r="E153" s="70"/>
      <c r="L153" s="61"/>
      <c r="M153" s="63"/>
      <c r="N153" s="63"/>
      <c r="O153" s="63"/>
      <c r="P153" s="63"/>
      <c r="Q153" s="63"/>
      <c r="R153" s="63"/>
      <c r="S153" s="63"/>
      <c r="T153" s="63"/>
      <c r="U153" s="63"/>
      <c r="V153" s="63"/>
      <c r="W153" s="63"/>
      <c r="X153" s="117"/>
      <c r="Y153" s="173"/>
      <c r="Z153" s="63"/>
    </row>
    <row r="154" ht="14.25" customHeight="1">
      <c r="B154" s="148"/>
      <c r="C154" s="70"/>
      <c r="D154" s="70"/>
      <c r="E154" s="70"/>
      <c r="L154" s="61"/>
      <c r="M154" s="63"/>
      <c r="N154" s="63"/>
      <c r="O154" s="63"/>
      <c r="P154" s="63"/>
      <c r="Q154" s="63"/>
      <c r="R154" s="63"/>
      <c r="S154" s="63"/>
      <c r="T154" s="63"/>
      <c r="U154" s="63"/>
      <c r="V154" s="63"/>
      <c r="W154" s="63"/>
      <c r="X154" s="117"/>
      <c r="Y154" s="173"/>
      <c r="Z154" s="63"/>
    </row>
    <row r="155" ht="14.25" customHeight="1">
      <c r="B155" s="148"/>
      <c r="C155" s="143" t="s">
        <v>1336</v>
      </c>
      <c r="D155" s="197" t="s">
        <v>1337</v>
      </c>
      <c r="L155" s="61"/>
      <c r="M155" s="63"/>
      <c r="N155" s="63"/>
      <c r="O155" s="63"/>
      <c r="P155" s="63"/>
      <c r="Q155" s="63"/>
      <c r="R155" s="63"/>
      <c r="S155" s="63"/>
      <c r="T155" s="63"/>
      <c r="U155" s="63"/>
      <c r="V155" s="63"/>
      <c r="W155" s="63"/>
      <c r="X155" s="117"/>
      <c r="Y155" s="173"/>
      <c r="Z155" s="63"/>
    </row>
    <row r="156" ht="14.25" customHeight="1">
      <c r="B156" s="69"/>
      <c r="C156" s="214" t="s">
        <v>1338</v>
      </c>
      <c r="D156" s="144" t="s">
        <v>1339</v>
      </c>
      <c r="E156" s="143"/>
      <c r="L156" s="61"/>
      <c r="M156" s="63"/>
      <c r="N156" s="63"/>
      <c r="O156" s="63"/>
      <c r="P156" s="63"/>
      <c r="Q156" s="63"/>
      <c r="R156" s="63"/>
      <c r="S156" s="63"/>
      <c r="T156" s="63"/>
      <c r="U156" s="63"/>
      <c r="V156" s="63"/>
      <c r="W156" s="63"/>
      <c r="X156" s="117"/>
      <c r="Y156" s="173"/>
      <c r="Z156" s="63"/>
    </row>
    <row r="157" ht="14.25" customHeight="1">
      <c r="B157" s="148"/>
      <c r="C157" s="70"/>
      <c r="D157" s="70"/>
      <c r="L157" s="61"/>
      <c r="M157" s="63"/>
      <c r="N157" s="63"/>
      <c r="O157" s="63"/>
      <c r="P157" s="63"/>
      <c r="Q157" s="63"/>
      <c r="R157" s="63"/>
      <c r="S157" s="63"/>
      <c r="T157" s="63"/>
      <c r="U157" s="63"/>
      <c r="V157" s="63"/>
      <c r="W157" s="63"/>
      <c r="X157" s="117"/>
      <c r="Y157" s="173"/>
      <c r="Z157" s="63"/>
    </row>
    <row r="158" ht="14.25" customHeight="1">
      <c r="B158" s="148"/>
      <c r="C158" s="70" t="s">
        <v>1134</v>
      </c>
      <c r="D158" s="70" t="s">
        <v>1340</v>
      </c>
      <c r="L158" s="61"/>
      <c r="M158" s="63"/>
      <c r="N158" s="63"/>
      <c r="O158" s="63"/>
      <c r="P158" s="63"/>
      <c r="Q158" s="63"/>
      <c r="R158" s="63"/>
      <c r="S158" s="63"/>
      <c r="T158" s="63"/>
      <c r="U158" s="63"/>
      <c r="V158" s="63"/>
      <c r="W158" s="63"/>
      <c r="X158" s="117"/>
      <c r="Y158" s="173"/>
      <c r="Z158" s="63"/>
    </row>
    <row r="159" ht="14.25" customHeight="1">
      <c r="B159" s="148"/>
      <c r="C159" s="70"/>
      <c r="D159" s="70"/>
      <c r="L159" s="61"/>
      <c r="M159" s="63"/>
      <c r="N159" s="63"/>
      <c r="O159" s="63"/>
      <c r="P159" s="63"/>
      <c r="Q159" s="63"/>
      <c r="R159" s="63"/>
      <c r="S159" s="63"/>
      <c r="T159" s="63"/>
      <c r="U159" s="63"/>
      <c r="V159" s="63"/>
      <c r="W159" s="63"/>
      <c r="X159" s="117"/>
      <c r="Y159" s="173"/>
      <c r="Z159" s="63"/>
    </row>
    <row r="160" ht="14.25" customHeight="1">
      <c r="B160" s="69"/>
      <c r="C160" s="214" t="s">
        <v>1139</v>
      </c>
      <c r="D160" s="183" t="s">
        <v>1341</v>
      </c>
      <c r="E160" s="70"/>
      <c r="L160" s="61"/>
      <c r="M160" s="63"/>
      <c r="N160" s="63">
        <v>15.0</v>
      </c>
      <c r="O160" s="63">
        <v>11.0</v>
      </c>
      <c r="P160" s="63">
        <v>2.0</v>
      </c>
      <c r="Q160" s="63">
        <v>1.0</v>
      </c>
      <c r="R160" s="63"/>
      <c r="S160" s="63">
        <v>15.0</v>
      </c>
      <c r="T160" s="63">
        <v>11.0</v>
      </c>
      <c r="U160" s="63">
        <v>9.0</v>
      </c>
      <c r="V160" s="63"/>
      <c r="W160" s="63"/>
      <c r="X160" s="117"/>
      <c r="Y160" s="173"/>
      <c r="Z160" s="63"/>
    </row>
    <row r="161" ht="14.25" customHeight="1">
      <c r="B161" s="69"/>
      <c r="C161" s="70" t="s">
        <v>1141</v>
      </c>
      <c r="D161" s="168" t="s">
        <v>1342</v>
      </c>
      <c r="L161" s="61"/>
      <c r="M161" s="63"/>
      <c r="N161" s="63"/>
      <c r="O161" s="63"/>
      <c r="P161" s="63"/>
      <c r="Q161" s="63"/>
      <c r="R161" s="63"/>
      <c r="S161" s="63"/>
      <c r="T161" s="63"/>
      <c r="U161" s="63"/>
      <c r="V161" s="63"/>
      <c r="W161" s="63"/>
      <c r="X161" s="117"/>
      <c r="Y161" s="173"/>
      <c r="Z161" s="63"/>
    </row>
    <row r="162" ht="14.25" customHeight="1">
      <c r="B162" s="69"/>
      <c r="C162" s="70"/>
      <c r="D162" s="77" t="s">
        <v>1302</v>
      </c>
      <c r="E162" s="77" t="s">
        <v>1278</v>
      </c>
      <c r="L162" s="61"/>
      <c r="M162" s="63"/>
      <c r="N162" s="63">
        <v>127.0</v>
      </c>
      <c r="O162" s="63">
        <v>60.0</v>
      </c>
      <c r="P162" s="63"/>
      <c r="Q162" s="63"/>
      <c r="R162" s="63"/>
      <c r="S162" s="63">
        <v>127.0</v>
      </c>
      <c r="T162" s="63"/>
      <c r="U162" s="63"/>
      <c r="V162" s="63"/>
      <c r="W162" s="63"/>
      <c r="X162" s="117"/>
      <c r="Y162" s="173"/>
      <c r="Z162" s="63"/>
    </row>
    <row r="163" ht="14.25" customHeight="1">
      <c r="B163" s="69"/>
      <c r="C163" s="70"/>
      <c r="D163" s="70" t="s">
        <v>1343</v>
      </c>
      <c r="E163" s="91" t="s">
        <v>1280</v>
      </c>
      <c r="L163" s="61"/>
      <c r="M163" s="63"/>
      <c r="N163" s="63"/>
      <c r="O163" s="63"/>
      <c r="P163" s="63">
        <v>15.0</v>
      </c>
      <c r="Q163" s="63">
        <v>25.0</v>
      </c>
      <c r="R163" s="63"/>
      <c r="S163" s="63"/>
      <c r="T163" s="63"/>
      <c r="U163" s="63"/>
      <c r="V163" s="63"/>
      <c r="W163" s="63"/>
      <c r="X163" s="117"/>
      <c r="Y163" s="173"/>
      <c r="Z163" s="63"/>
    </row>
    <row r="164" ht="14.25" customHeight="1">
      <c r="B164" s="69"/>
      <c r="C164" s="70"/>
      <c r="D164" s="70" t="s">
        <v>849</v>
      </c>
      <c r="E164" s="91" t="s">
        <v>1344</v>
      </c>
      <c r="G164" s="118" t="s">
        <v>1345</v>
      </c>
      <c r="L164" s="61"/>
      <c r="M164" s="63"/>
      <c r="N164" s="63">
        <v>225.0</v>
      </c>
      <c r="O164" s="63"/>
      <c r="P164" s="63"/>
      <c r="Q164" s="63"/>
      <c r="R164" s="63"/>
      <c r="S164" s="63"/>
      <c r="T164" s="63"/>
      <c r="U164" s="63"/>
      <c r="V164" s="63"/>
      <c r="W164" s="63"/>
      <c r="X164" s="117"/>
      <c r="Y164" s="173"/>
      <c r="Z164" s="63"/>
    </row>
    <row r="165" ht="14.25" customHeight="1">
      <c r="B165" s="69"/>
      <c r="C165" s="70"/>
      <c r="D165" s="70" t="s">
        <v>858</v>
      </c>
      <c r="E165" s="91" t="s">
        <v>1346</v>
      </c>
      <c r="L165" s="61"/>
      <c r="M165" s="63"/>
      <c r="N165" s="63"/>
      <c r="O165" s="63"/>
      <c r="P165" s="63"/>
      <c r="Q165" s="63"/>
      <c r="R165" s="63"/>
      <c r="S165" s="63"/>
      <c r="T165" s="63"/>
      <c r="U165" s="63"/>
      <c r="V165" s="63"/>
      <c r="W165" s="63"/>
      <c r="X165" s="117"/>
      <c r="Y165" s="173"/>
      <c r="Z165" s="63"/>
    </row>
    <row r="166" ht="14.25" customHeight="1">
      <c r="B166" s="69"/>
      <c r="C166" s="70"/>
      <c r="D166" s="70" t="s">
        <v>860</v>
      </c>
      <c r="E166" s="91" t="s">
        <v>1347</v>
      </c>
      <c r="L166" s="61"/>
      <c r="M166" s="63"/>
      <c r="N166" s="63"/>
      <c r="O166" s="63">
        <v>40.0</v>
      </c>
      <c r="P166" s="63">
        <v>15.0</v>
      </c>
      <c r="Q166" s="63"/>
      <c r="R166" s="63"/>
      <c r="S166" s="63"/>
      <c r="T166" s="63"/>
      <c r="U166" s="63"/>
      <c r="V166" s="63"/>
      <c r="W166" s="63"/>
      <c r="X166" s="117"/>
      <c r="Y166" s="173"/>
      <c r="Z166" s="63"/>
    </row>
    <row r="167" ht="14.25" customHeight="1">
      <c r="B167" s="69"/>
      <c r="C167" s="91" t="s">
        <v>1144</v>
      </c>
      <c r="D167" s="70" t="s">
        <v>1348</v>
      </c>
      <c r="E167" s="70"/>
      <c r="L167" s="61"/>
      <c r="M167" s="63"/>
      <c r="N167" s="63"/>
      <c r="O167" s="63"/>
      <c r="P167" s="63"/>
      <c r="Q167" s="63"/>
      <c r="R167" s="63"/>
      <c r="S167" s="63"/>
      <c r="T167" s="63"/>
      <c r="U167" s="63"/>
      <c r="V167" s="63"/>
      <c r="W167" s="63"/>
      <c r="X167" s="117"/>
      <c r="Y167" s="173"/>
      <c r="Z167" s="63"/>
    </row>
    <row r="168" ht="14.25" customHeight="1">
      <c r="B168" s="69"/>
      <c r="C168" s="70"/>
      <c r="D168" s="70" t="s">
        <v>845</v>
      </c>
      <c r="E168" s="91" t="s">
        <v>1278</v>
      </c>
      <c r="L168" s="61"/>
      <c r="M168" s="63"/>
      <c r="N168" s="63"/>
      <c r="O168" s="63"/>
      <c r="P168" s="63"/>
      <c r="Q168" s="63"/>
      <c r="R168" s="63"/>
      <c r="S168" s="63"/>
      <c r="T168" s="63"/>
      <c r="U168" s="63"/>
      <c r="V168" s="63"/>
      <c r="W168" s="63"/>
      <c r="X168" s="117"/>
      <c r="Y168" s="173"/>
      <c r="Z168" s="63"/>
    </row>
    <row r="169" ht="14.25" customHeight="1">
      <c r="B169" s="69"/>
      <c r="C169" s="70"/>
      <c r="D169" s="77" t="s">
        <v>847</v>
      </c>
      <c r="E169" s="91" t="s">
        <v>1280</v>
      </c>
      <c r="L169" s="61"/>
      <c r="M169" s="63"/>
      <c r="N169" s="63"/>
      <c r="O169" s="63"/>
      <c r="P169" s="63"/>
      <c r="Q169" s="63"/>
      <c r="R169" s="63"/>
      <c r="S169" s="63"/>
      <c r="T169" s="63"/>
      <c r="U169" s="63"/>
      <c r="V169" s="63"/>
      <c r="W169" s="63"/>
      <c r="X169" s="117"/>
      <c r="Y169" s="173"/>
      <c r="Z169" s="63"/>
    </row>
    <row r="170" ht="14.25" customHeight="1">
      <c r="B170" s="148"/>
      <c r="C170" s="144"/>
      <c r="D170" s="144" t="s">
        <v>849</v>
      </c>
      <c r="E170" s="144" t="s">
        <v>1349</v>
      </c>
      <c r="L170" s="61"/>
      <c r="M170" s="63"/>
      <c r="N170" s="63"/>
      <c r="O170" s="63"/>
      <c r="P170" s="63"/>
      <c r="Q170" s="63"/>
      <c r="R170" s="63"/>
      <c r="S170" s="63"/>
      <c r="T170" s="63"/>
      <c r="U170" s="63"/>
      <c r="V170" s="63"/>
      <c r="W170" s="63"/>
      <c r="X170" s="117"/>
      <c r="Y170" s="173"/>
      <c r="Z170" s="63"/>
    </row>
    <row r="171" ht="14.25" customHeight="1">
      <c r="B171" s="69"/>
      <c r="C171" s="144"/>
      <c r="D171" s="144" t="s">
        <v>858</v>
      </c>
      <c r="E171" s="144" t="s">
        <v>1346</v>
      </c>
      <c r="L171" s="61"/>
      <c r="M171" s="63"/>
      <c r="N171" s="63"/>
      <c r="O171" s="63"/>
      <c r="P171" s="63"/>
      <c r="Q171" s="63"/>
      <c r="R171" s="63"/>
      <c r="S171" s="63"/>
      <c r="T171" s="63"/>
      <c r="U171" s="63"/>
      <c r="V171" s="63"/>
      <c r="W171" s="63"/>
      <c r="X171" s="117"/>
      <c r="Y171" s="173"/>
      <c r="Z171" s="63"/>
    </row>
    <row r="172" ht="14.25" customHeight="1">
      <c r="B172" s="148"/>
      <c r="C172" s="70"/>
      <c r="D172" s="70" t="s">
        <v>860</v>
      </c>
      <c r="E172" s="118" t="s">
        <v>1347</v>
      </c>
      <c r="L172" s="61"/>
      <c r="M172" s="63"/>
      <c r="N172" s="63"/>
      <c r="O172" s="63"/>
      <c r="P172" s="63"/>
      <c r="Q172" s="63"/>
      <c r="R172" s="63"/>
      <c r="S172" s="63"/>
      <c r="T172" s="63"/>
      <c r="U172" s="63"/>
      <c r="V172" s="63"/>
      <c r="W172" s="63"/>
      <c r="X172" s="117"/>
      <c r="Y172" s="173"/>
      <c r="Z172" s="63"/>
    </row>
    <row r="173" ht="14.25" customHeight="1">
      <c r="B173" s="148"/>
      <c r="C173" s="214" t="s">
        <v>1154</v>
      </c>
      <c r="D173" s="77" t="s">
        <v>1350</v>
      </c>
      <c r="E173" s="70"/>
      <c r="L173" s="61"/>
      <c r="M173" s="63"/>
      <c r="N173" s="63"/>
      <c r="O173" s="63"/>
      <c r="P173" s="63"/>
      <c r="Q173" s="63"/>
      <c r="R173" s="63"/>
      <c r="S173" s="63"/>
      <c r="T173" s="63"/>
      <c r="U173" s="63"/>
      <c r="V173" s="63"/>
      <c r="W173" s="63"/>
      <c r="X173" s="117"/>
      <c r="Y173" s="173"/>
      <c r="Z173" s="63"/>
    </row>
    <row r="174" ht="14.25" customHeight="1">
      <c r="B174" s="148"/>
      <c r="C174" s="144"/>
      <c r="D174" s="70" t="s">
        <v>845</v>
      </c>
      <c r="E174" s="70" t="s">
        <v>1351</v>
      </c>
      <c r="L174" s="61"/>
      <c r="M174" s="63"/>
      <c r="N174" s="63"/>
      <c r="O174" s="63"/>
      <c r="P174" s="63"/>
      <c r="Q174" s="63"/>
      <c r="R174" s="63"/>
      <c r="S174" s="63"/>
      <c r="T174" s="63"/>
      <c r="U174" s="63"/>
      <c r="V174" s="63"/>
      <c r="W174" s="63"/>
      <c r="X174" s="117"/>
      <c r="Y174" s="173"/>
      <c r="Z174" s="63"/>
    </row>
    <row r="175" ht="14.25" customHeight="1">
      <c r="B175" s="148"/>
      <c r="C175" s="144"/>
      <c r="D175" s="70"/>
      <c r="E175" s="70" t="s">
        <v>368</v>
      </c>
      <c r="F175" s="118" t="s">
        <v>1278</v>
      </c>
      <c r="L175" s="61"/>
      <c r="M175" s="63"/>
      <c r="N175" s="63">
        <v>20.0</v>
      </c>
      <c r="O175" s="63">
        <v>13.0</v>
      </c>
      <c r="P175" s="63"/>
      <c r="Q175" s="63"/>
      <c r="R175" s="63"/>
      <c r="S175" s="63"/>
      <c r="T175" s="63"/>
      <c r="U175" s="63"/>
      <c r="V175" s="63"/>
      <c r="W175" s="63"/>
      <c r="X175" s="117"/>
      <c r="Y175" s="173"/>
      <c r="Z175" s="63"/>
    </row>
    <row r="176" ht="14.25" customHeight="1">
      <c r="B176" s="148"/>
      <c r="C176" s="144"/>
      <c r="D176" s="70"/>
      <c r="E176" s="70" t="s">
        <v>368</v>
      </c>
      <c r="F176" s="118" t="s">
        <v>1280</v>
      </c>
      <c r="L176" s="61"/>
      <c r="M176" s="63"/>
      <c r="N176" s="63"/>
      <c r="O176" s="63"/>
      <c r="P176" s="63"/>
      <c r="Q176" s="63"/>
      <c r="R176" s="63"/>
      <c r="S176" s="63"/>
      <c r="T176" s="63"/>
      <c r="U176" s="63"/>
      <c r="V176" s="63"/>
      <c r="W176" s="63"/>
      <c r="X176" s="117"/>
      <c r="Y176" s="173"/>
      <c r="Z176" s="63"/>
    </row>
    <row r="177" ht="14.25" customHeight="1">
      <c r="B177" s="148"/>
      <c r="C177" s="144"/>
      <c r="D177" s="70" t="s">
        <v>847</v>
      </c>
      <c r="E177" s="70" t="s">
        <v>1352</v>
      </c>
      <c r="L177" s="61"/>
      <c r="M177" s="63"/>
      <c r="N177" s="63"/>
      <c r="O177" s="63"/>
      <c r="P177" s="63"/>
      <c r="Q177" s="63"/>
      <c r="R177" s="63"/>
      <c r="S177" s="63"/>
      <c r="T177" s="63"/>
      <c r="U177" s="63"/>
      <c r="V177" s="63"/>
      <c r="W177" s="63"/>
      <c r="X177" s="117"/>
      <c r="Y177" s="173"/>
      <c r="Z177" s="63"/>
    </row>
    <row r="178" ht="14.25" customHeight="1">
      <c r="B178" s="148"/>
      <c r="C178" s="144"/>
      <c r="D178" s="70"/>
      <c r="E178" s="70" t="s">
        <v>368</v>
      </c>
      <c r="F178" s="118" t="s">
        <v>1278</v>
      </c>
      <c r="L178" s="61"/>
      <c r="M178" s="63"/>
      <c r="N178" s="63"/>
      <c r="O178" s="63"/>
      <c r="P178" s="63"/>
      <c r="Q178" s="63"/>
      <c r="R178" s="63"/>
      <c r="S178" s="63"/>
      <c r="T178" s="63"/>
      <c r="U178" s="63"/>
      <c r="V178" s="63"/>
      <c r="W178" s="63"/>
      <c r="X178" s="117"/>
      <c r="Y178" s="173"/>
      <c r="Z178" s="63"/>
    </row>
    <row r="179" ht="14.25" customHeight="1">
      <c r="B179" s="148"/>
      <c r="C179" s="144"/>
      <c r="D179" s="70"/>
      <c r="E179" s="70" t="s">
        <v>368</v>
      </c>
      <c r="F179" s="118" t="s">
        <v>1280</v>
      </c>
      <c r="L179" s="61"/>
      <c r="M179" s="63"/>
      <c r="N179" s="63"/>
      <c r="O179" s="63"/>
      <c r="P179" s="63"/>
      <c r="Q179" s="63"/>
      <c r="R179" s="63"/>
      <c r="S179" s="63"/>
      <c r="T179" s="63"/>
      <c r="U179" s="63"/>
      <c r="V179" s="63"/>
      <c r="W179" s="63"/>
      <c r="X179" s="117"/>
      <c r="Y179" s="173"/>
      <c r="Z179" s="63"/>
    </row>
    <row r="180" ht="14.25" customHeight="1">
      <c r="B180" s="148"/>
      <c r="C180" s="144"/>
      <c r="D180" s="70" t="s">
        <v>849</v>
      </c>
      <c r="E180" s="70" t="s">
        <v>1353</v>
      </c>
      <c r="L180" s="61"/>
      <c r="M180" s="63"/>
      <c r="N180" s="63"/>
      <c r="O180" s="63"/>
      <c r="P180" s="63"/>
      <c r="Q180" s="63"/>
      <c r="R180" s="63"/>
      <c r="S180" s="63"/>
      <c r="T180" s="63"/>
      <c r="U180" s="63"/>
      <c r="V180" s="63"/>
      <c r="W180" s="63"/>
      <c r="X180" s="117"/>
      <c r="Y180" s="173"/>
      <c r="Z180" s="63"/>
    </row>
    <row r="181" ht="14.25" customHeight="1">
      <c r="B181" s="148"/>
      <c r="C181" s="144"/>
      <c r="D181" s="70"/>
      <c r="E181" s="70" t="s">
        <v>368</v>
      </c>
      <c r="F181" s="118" t="s">
        <v>1278</v>
      </c>
      <c r="L181" s="61"/>
      <c r="M181" s="63"/>
      <c r="N181" s="63"/>
      <c r="O181" s="63"/>
      <c r="P181" s="63"/>
      <c r="Q181" s="63"/>
      <c r="R181" s="63"/>
      <c r="S181" s="63"/>
      <c r="T181" s="63"/>
      <c r="U181" s="63"/>
      <c r="V181" s="63"/>
      <c r="W181" s="63"/>
      <c r="X181" s="117"/>
      <c r="Y181" s="173"/>
      <c r="Z181" s="63"/>
    </row>
    <row r="182" ht="14.25" customHeight="1">
      <c r="B182" s="69"/>
      <c r="C182" s="144"/>
      <c r="D182" s="144"/>
      <c r="E182" s="144" t="s">
        <v>368</v>
      </c>
      <c r="F182" s="118" t="s">
        <v>1280</v>
      </c>
      <c r="L182" s="61"/>
      <c r="M182" s="63"/>
      <c r="N182" s="63"/>
      <c r="O182" s="63"/>
      <c r="P182" s="63"/>
      <c r="Q182" s="63"/>
      <c r="R182" s="63"/>
      <c r="S182" s="63"/>
      <c r="T182" s="63"/>
      <c r="U182" s="63"/>
      <c r="V182" s="63"/>
      <c r="W182" s="63"/>
      <c r="X182" s="117"/>
      <c r="Y182" s="173"/>
      <c r="Z182" s="63"/>
    </row>
    <row r="183" ht="14.25" customHeight="1">
      <c r="B183" s="148"/>
      <c r="C183" s="70"/>
      <c r="D183" s="70" t="s">
        <v>858</v>
      </c>
      <c r="E183" s="118" t="s">
        <v>1354</v>
      </c>
      <c r="L183" s="61"/>
      <c r="M183" s="63"/>
      <c r="N183" s="63"/>
      <c r="O183" s="63"/>
      <c r="P183" s="63"/>
      <c r="Q183" s="63"/>
      <c r="R183" s="63"/>
      <c r="S183" s="63"/>
      <c r="T183" s="63"/>
      <c r="U183" s="63"/>
      <c r="V183" s="63"/>
      <c r="W183" s="63"/>
      <c r="X183" s="117"/>
      <c r="Y183" s="173"/>
      <c r="Z183" s="63"/>
    </row>
    <row r="184" ht="14.25" customHeight="1">
      <c r="B184" s="148"/>
      <c r="C184" s="144"/>
      <c r="D184" s="70"/>
      <c r="E184" s="70" t="s">
        <v>368</v>
      </c>
      <c r="F184" s="118" t="s">
        <v>1278</v>
      </c>
      <c r="L184" s="61"/>
      <c r="M184" s="63"/>
      <c r="N184" s="63"/>
      <c r="O184" s="63"/>
      <c r="P184" s="63"/>
      <c r="Q184" s="63"/>
      <c r="R184" s="63"/>
      <c r="S184" s="63"/>
      <c r="T184" s="63"/>
      <c r="U184" s="63"/>
      <c r="V184" s="63"/>
      <c r="W184" s="63"/>
      <c r="X184" s="117"/>
      <c r="Y184" s="173"/>
      <c r="Z184" s="63"/>
    </row>
    <row r="185" ht="14.25" customHeight="1">
      <c r="B185" s="148"/>
      <c r="C185" s="144"/>
      <c r="D185" s="70"/>
      <c r="E185" s="70" t="s">
        <v>368</v>
      </c>
      <c r="F185" s="118" t="s">
        <v>1280</v>
      </c>
      <c r="L185" s="61"/>
      <c r="M185" s="63"/>
      <c r="N185" s="63"/>
      <c r="O185" s="63"/>
      <c r="P185" s="63"/>
      <c r="Q185" s="63"/>
      <c r="R185" s="63"/>
      <c r="S185" s="63"/>
      <c r="T185" s="63"/>
      <c r="U185" s="63"/>
      <c r="V185" s="63"/>
      <c r="W185" s="63"/>
      <c r="X185" s="117"/>
      <c r="Y185" s="173"/>
      <c r="Z185" s="63"/>
    </row>
    <row r="186" ht="14.25" customHeight="1">
      <c r="B186" s="148"/>
      <c r="C186" s="144"/>
      <c r="D186" s="70" t="s">
        <v>860</v>
      </c>
      <c r="E186" s="70" t="s">
        <v>1355</v>
      </c>
      <c r="L186" s="61"/>
      <c r="M186" s="63"/>
      <c r="N186" s="63"/>
      <c r="O186" s="63"/>
      <c r="P186" s="63"/>
      <c r="Q186" s="63"/>
      <c r="R186" s="63"/>
      <c r="S186" s="63"/>
      <c r="T186" s="63"/>
      <c r="U186" s="63"/>
      <c r="V186" s="63"/>
      <c r="W186" s="63"/>
      <c r="X186" s="117"/>
      <c r="Y186" s="173"/>
      <c r="Z186" s="63"/>
    </row>
    <row r="187" ht="14.25" customHeight="1">
      <c r="B187" s="148"/>
      <c r="C187" s="144"/>
      <c r="D187" s="70"/>
      <c r="E187" s="70" t="s">
        <v>368</v>
      </c>
      <c r="F187" s="118" t="s">
        <v>1278</v>
      </c>
      <c r="L187" s="61"/>
      <c r="M187" s="63"/>
      <c r="N187" s="63"/>
      <c r="O187" s="63"/>
      <c r="P187" s="63"/>
      <c r="Q187" s="63"/>
      <c r="R187" s="63"/>
      <c r="S187" s="63"/>
      <c r="T187" s="63"/>
      <c r="U187" s="63"/>
      <c r="V187" s="63"/>
      <c r="W187" s="63"/>
      <c r="X187" s="117"/>
      <c r="Y187" s="173"/>
      <c r="Z187" s="63"/>
    </row>
    <row r="188" ht="14.25" customHeight="1">
      <c r="B188" s="148"/>
      <c r="C188" s="144"/>
      <c r="D188" s="70"/>
      <c r="E188" s="70" t="s">
        <v>368</v>
      </c>
      <c r="F188" s="118" t="s">
        <v>1280</v>
      </c>
      <c r="L188" s="61"/>
      <c r="M188" s="63"/>
      <c r="N188" s="63"/>
      <c r="O188" s="63"/>
      <c r="P188" s="63"/>
      <c r="Q188" s="63"/>
      <c r="R188" s="63"/>
      <c r="S188" s="63"/>
      <c r="T188" s="63"/>
      <c r="U188" s="63"/>
      <c r="V188" s="63"/>
      <c r="W188" s="63"/>
      <c r="X188" s="117"/>
      <c r="Y188" s="173"/>
      <c r="Z188" s="63"/>
    </row>
    <row r="189" ht="14.25" customHeight="1">
      <c r="B189" s="148"/>
      <c r="C189" s="144"/>
      <c r="D189" s="70"/>
      <c r="E189" s="70" t="s">
        <v>368</v>
      </c>
      <c r="F189" s="118" t="s">
        <v>1281</v>
      </c>
      <c r="L189" s="61"/>
      <c r="M189" s="63"/>
      <c r="N189" s="63"/>
      <c r="O189" s="63"/>
      <c r="P189" s="63"/>
      <c r="Q189" s="63"/>
      <c r="R189" s="63"/>
      <c r="S189" s="63"/>
      <c r="T189" s="63"/>
      <c r="U189" s="63"/>
      <c r="V189" s="63"/>
      <c r="W189" s="63"/>
      <c r="X189" s="117"/>
      <c r="Y189" s="173"/>
      <c r="Z189" s="63"/>
    </row>
    <row r="190" ht="14.25" customHeight="1">
      <c r="B190" s="148"/>
      <c r="C190" s="144"/>
      <c r="D190" s="70" t="s">
        <v>862</v>
      </c>
      <c r="E190" s="70" t="s">
        <v>1356</v>
      </c>
      <c r="L190" s="61"/>
      <c r="M190" s="63"/>
      <c r="N190" s="63"/>
      <c r="O190" s="63"/>
      <c r="P190" s="63"/>
      <c r="Q190" s="63"/>
      <c r="R190" s="63"/>
      <c r="S190" s="63"/>
      <c r="T190" s="63"/>
      <c r="U190" s="63"/>
      <c r="V190" s="63"/>
      <c r="W190" s="63"/>
      <c r="X190" s="117"/>
      <c r="Y190" s="173"/>
      <c r="Z190" s="63"/>
    </row>
    <row r="191" ht="14.25" customHeight="1">
      <c r="B191" s="148"/>
      <c r="C191" s="144"/>
      <c r="D191" s="70"/>
      <c r="E191" s="70" t="s">
        <v>368</v>
      </c>
      <c r="F191" s="118" t="s">
        <v>1278</v>
      </c>
      <c r="L191" s="61"/>
      <c r="M191" s="63"/>
      <c r="N191" s="63"/>
      <c r="O191" s="63"/>
      <c r="P191" s="63"/>
      <c r="Q191" s="63"/>
      <c r="R191" s="63"/>
      <c r="S191" s="63"/>
      <c r="T191" s="63"/>
      <c r="U191" s="63"/>
      <c r="V191" s="63"/>
      <c r="W191" s="63"/>
      <c r="X191" s="117"/>
      <c r="Y191" s="173"/>
      <c r="Z191" s="63"/>
    </row>
    <row r="192" ht="14.25" customHeight="1">
      <c r="B192" s="148"/>
      <c r="C192" s="144"/>
      <c r="D192" s="70"/>
      <c r="E192" s="70" t="s">
        <v>368</v>
      </c>
      <c r="F192" s="118" t="s">
        <v>1280</v>
      </c>
      <c r="L192" s="61"/>
      <c r="M192" s="63"/>
      <c r="N192" s="63"/>
      <c r="O192" s="63"/>
      <c r="P192" s="63"/>
      <c r="Q192" s="63"/>
      <c r="R192" s="63"/>
      <c r="S192" s="63"/>
      <c r="T192" s="63"/>
      <c r="U192" s="63"/>
      <c r="V192" s="63"/>
      <c r="W192" s="63"/>
      <c r="X192" s="117"/>
      <c r="Y192" s="173"/>
      <c r="Z192" s="63"/>
    </row>
    <row r="193" ht="14.25" customHeight="1">
      <c r="B193" s="69"/>
      <c r="C193" s="144"/>
      <c r="D193" s="144" t="s">
        <v>914</v>
      </c>
      <c r="E193" s="144" t="s">
        <v>1357</v>
      </c>
      <c r="L193" s="61"/>
      <c r="M193" s="63"/>
      <c r="N193" s="63"/>
      <c r="O193" s="63"/>
      <c r="P193" s="63"/>
      <c r="Q193" s="63"/>
      <c r="R193" s="63"/>
      <c r="S193" s="63"/>
      <c r="T193" s="63"/>
      <c r="U193" s="63"/>
      <c r="V193" s="63"/>
      <c r="W193" s="63"/>
      <c r="X193" s="117"/>
      <c r="Y193" s="173"/>
      <c r="Z193" s="63"/>
    </row>
    <row r="194" ht="14.25" customHeight="1">
      <c r="B194" s="148"/>
      <c r="C194" s="70"/>
      <c r="D194" s="70"/>
      <c r="E194" s="118" t="s">
        <v>368</v>
      </c>
      <c r="F194" s="118" t="s">
        <v>1278</v>
      </c>
      <c r="L194" s="61"/>
      <c r="M194" s="63"/>
      <c r="N194" s="63">
        <v>50.0</v>
      </c>
      <c r="O194" s="63">
        <v>50.0</v>
      </c>
      <c r="P194" s="63">
        <v>50.0</v>
      </c>
      <c r="Q194" s="63">
        <v>50.0</v>
      </c>
      <c r="R194" s="63"/>
      <c r="S194" s="63"/>
      <c r="T194" s="63"/>
      <c r="U194" s="63"/>
      <c r="V194" s="63"/>
      <c r="W194" s="63"/>
      <c r="X194" s="117"/>
      <c r="Y194" s="173"/>
      <c r="Z194" s="63"/>
    </row>
    <row r="195" ht="14.25" customHeight="1">
      <c r="B195" s="148"/>
      <c r="C195" s="144"/>
      <c r="D195" s="70"/>
      <c r="E195" s="70" t="s">
        <v>368</v>
      </c>
      <c r="F195" s="118" t="s">
        <v>1280</v>
      </c>
      <c r="L195" s="61"/>
      <c r="M195" s="63"/>
      <c r="N195" s="63">
        <v>2.0</v>
      </c>
      <c r="O195" s="63">
        <v>3.0</v>
      </c>
      <c r="P195" s="63">
        <v>3.0</v>
      </c>
      <c r="Q195" s="63">
        <v>2.0</v>
      </c>
      <c r="R195" s="63"/>
      <c r="S195" s="63"/>
      <c r="T195" s="63"/>
      <c r="U195" s="63"/>
      <c r="V195" s="63"/>
      <c r="W195" s="63"/>
      <c r="X195" s="117"/>
      <c r="Y195" s="173"/>
      <c r="Z195" s="63"/>
    </row>
    <row r="196" ht="14.25" customHeight="1">
      <c r="B196" s="148"/>
      <c r="C196" s="144"/>
      <c r="D196" s="70"/>
      <c r="E196" s="70" t="s">
        <v>368</v>
      </c>
      <c r="F196" s="118" t="s">
        <v>1281</v>
      </c>
      <c r="L196" s="61"/>
      <c r="M196" s="63"/>
      <c r="N196" s="63"/>
      <c r="O196" s="63"/>
      <c r="P196" s="63"/>
      <c r="Q196" s="63"/>
      <c r="R196" s="63"/>
      <c r="S196" s="63"/>
      <c r="T196" s="63"/>
      <c r="U196" s="63"/>
      <c r="V196" s="63"/>
      <c r="W196" s="63"/>
      <c r="X196" s="117"/>
      <c r="Y196" s="173"/>
      <c r="Z196" s="63"/>
    </row>
    <row r="197" ht="14.25" customHeight="1">
      <c r="B197" s="148"/>
      <c r="C197" s="144"/>
      <c r="D197" s="70"/>
      <c r="E197" s="70"/>
      <c r="L197" s="61"/>
      <c r="M197" s="63"/>
      <c r="N197" s="63"/>
      <c r="O197" s="63"/>
      <c r="P197" s="63"/>
      <c r="Q197" s="63"/>
      <c r="R197" s="63"/>
      <c r="S197" s="63"/>
      <c r="T197" s="63"/>
      <c r="U197" s="63"/>
      <c r="V197" s="63"/>
      <c r="W197" s="63"/>
      <c r="X197" s="117"/>
      <c r="Y197" s="173"/>
      <c r="Z197" s="63"/>
    </row>
    <row r="198" ht="14.25" customHeight="1">
      <c r="B198" s="148"/>
      <c r="C198" s="144"/>
      <c r="D198" s="70"/>
      <c r="E198" s="70"/>
      <c r="L198" s="61"/>
      <c r="M198" s="63"/>
      <c r="N198" s="63"/>
      <c r="O198" s="63"/>
      <c r="P198" s="63"/>
      <c r="Q198" s="63"/>
      <c r="R198" s="63"/>
      <c r="S198" s="63"/>
      <c r="T198" s="63"/>
      <c r="U198" s="63"/>
      <c r="V198" s="63"/>
      <c r="W198" s="63"/>
      <c r="X198" s="117"/>
      <c r="Y198" s="173"/>
      <c r="Z198" s="63"/>
    </row>
    <row r="199" ht="14.25" customHeight="1">
      <c r="B199" s="148"/>
      <c r="C199" s="144"/>
      <c r="D199" s="70" t="s">
        <v>916</v>
      </c>
      <c r="E199" s="70" t="s">
        <v>1358</v>
      </c>
      <c r="L199" s="61"/>
      <c r="M199" s="63"/>
      <c r="N199" s="63"/>
      <c r="O199" s="63"/>
      <c r="P199" s="63"/>
      <c r="Q199" s="63"/>
      <c r="R199" s="63"/>
      <c r="S199" s="63"/>
      <c r="T199" s="63"/>
      <c r="U199" s="63"/>
      <c r="V199" s="63"/>
      <c r="W199" s="63"/>
      <c r="X199" s="117"/>
      <c r="Y199" s="173"/>
      <c r="Z199" s="63"/>
    </row>
    <row r="200" ht="14.25" customHeight="1">
      <c r="B200" s="148"/>
      <c r="C200" s="144"/>
      <c r="D200" s="70"/>
      <c r="E200" s="70" t="s">
        <v>368</v>
      </c>
      <c r="F200" s="118" t="s">
        <v>1278</v>
      </c>
      <c r="L200" s="61"/>
      <c r="M200" s="63"/>
      <c r="N200" s="63"/>
      <c r="O200" s="63"/>
      <c r="P200" s="63"/>
      <c r="Q200" s="63"/>
      <c r="R200" s="63"/>
      <c r="S200" s="63"/>
      <c r="T200" s="63"/>
      <c r="U200" s="63"/>
      <c r="V200" s="63"/>
      <c r="W200" s="63"/>
      <c r="X200" s="117"/>
      <c r="Y200" s="173"/>
      <c r="Z200" s="63"/>
    </row>
    <row r="201" ht="14.25" customHeight="1">
      <c r="B201" s="148"/>
      <c r="C201" s="144"/>
      <c r="D201" s="70"/>
      <c r="E201" s="70" t="s">
        <v>368</v>
      </c>
      <c r="F201" s="118" t="s">
        <v>1280</v>
      </c>
      <c r="L201" s="61"/>
      <c r="M201" s="63"/>
      <c r="N201" s="63"/>
      <c r="O201" s="63"/>
      <c r="P201" s="63"/>
      <c r="Q201" s="63"/>
      <c r="R201" s="63"/>
      <c r="S201" s="63"/>
      <c r="T201" s="63"/>
      <c r="U201" s="63"/>
      <c r="V201" s="63"/>
      <c r="W201" s="63"/>
      <c r="X201" s="117"/>
      <c r="Y201" s="173"/>
      <c r="Z201" s="63"/>
    </row>
    <row r="202" ht="14.25" customHeight="1">
      <c r="B202" s="148"/>
      <c r="C202" s="144"/>
      <c r="D202" s="70"/>
      <c r="E202" s="70" t="s">
        <v>826</v>
      </c>
      <c r="F202" s="118" t="s">
        <v>1281</v>
      </c>
      <c r="L202" s="61"/>
      <c r="M202" s="63"/>
      <c r="N202" s="63"/>
      <c r="O202" s="63"/>
      <c r="P202" s="63"/>
      <c r="Q202" s="63"/>
      <c r="R202" s="63"/>
      <c r="S202" s="63"/>
      <c r="T202" s="63"/>
      <c r="U202" s="63"/>
      <c r="V202" s="63"/>
      <c r="W202" s="63"/>
      <c r="X202" s="117"/>
      <c r="Y202" s="173"/>
      <c r="Z202" s="63"/>
    </row>
    <row r="203" ht="14.25" customHeight="1">
      <c r="B203" s="148"/>
      <c r="C203" s="144"/>
      <c r="D203" s="70"/>
      <c r="E203" s="70"/>
      <c r="L203" s="61"/>
      <c r="M203" s="63"/>
      <c r="N203" s="63"/>
      <c r="O203" s="63"/>
      <c r="P203" s="63"/>
      <c r="Q203" s="63"/>
      <c r="R203" s="63"/>
      <c r="S203" s="63"/>
      <c r="T203" s="63"/>
      <c r="U203" s="63"/>
      <c r="V203" s="63"/>
      <c r="W203" s="63"/>
      <c r="X203" s="117"/>
      <c r="Y203" s="173"/>
      <c r="Z203" s="63"/>
    </row>
    <row r="204" ht="14.25" customHeight="1">
      <c r="B204" s="69"/>
      <c r="C204" s="144"/>
      <c r="D204" s="144" t="s">
        <v>1359</v>
      </c>
      <c r="E204" s="144" t="s">
        <v>1360</v>
      </c>
      <c r="L204" s="61"/>
      <c r="M204" s="63"/>
      <c r="N204" s="63"/>
      <c r="O204" s="63"/>
      <c r="P204" s="63"/>
      <c r="Q204" s="63"/>
      <c r="R204" s="63"/>
      <c r="S204" s="63"/>
      <c r="T204" s="63"/>
      <c r="U204" s="63"/>
      <c r="V204" s="63"/>
      <c r="W204" s="63"/>
      <c r="X204" s="117"/>
      <c r="Y204" s="173"/>
      <c r="Z204" s="63"/>
    </row>
    <row r="205" ht="14.25" customHeight="1">
      <c r="B205" s="148"/>
      <c r="C205" s="70"/>
      <c r="D205" s="70"/>
      <c r="E205" s="118" t="s">
        <v>368</v>
      </c>
      <c r="F205" s="118" t="s">
        <v>1278</v>
      </c>
      <c r="L205" s="61"/>
      <c r="M205" s="63"/>
      <c r="N205" s="63"/>
      <c r="O205" s="63"/>
      <c r="P205" s="63"/>
      <c r="Q205" s="63"/>
      <c r="R205" s="63"/>
      <c r="S205" s="63"/>
      <c r="T205" s="63"/>
      <c r="U205" s="63"/>
      <c r="V205" s="63"/>
      <c r="W205" s="63"/>
      <c r="X205" s="117"/>
      <c r="Y205" s="173"/>
      <c r="Z205" s="63"/>
    </row>
    <row r="206" ht="14.25" customHeight="1">
      <c r="B206" s="148"/>
      <c r="C206" s="144"/>
      <c r="D206" s="70"/>
      <c r="E206" s="70" t="s">
        <v>368</v>
      </c>
      <c r="F206" s="118" t="s">
        <v>1280</v>
      </c>
      <c r="L206" s="61"/>
      <c r="M206" s="63"/>
      <c r="N206" s="63"/>
      <c r="O206" s="63"/>
      <c r="P206" s="63"/>
      <c r="Q206" s="63"/>
      <c r="R206" s="63"/>
      <c r="S206" s="63"/>
      <c r="T206" s="63"/>
      <c r="U206" s="63"/>
      <c r="V206" s="63"/>
      <c r="W206" s="63"/>
      <c r="X206" s="117"/>
      <c r="Y206" s="173"/>
      <c r="Z206" s="63"/>
    </row>
    <row r="207" ht="14.25" customHeight="1">
      <c r="B207" s="148"/>
      <c r="C207" s="144"/>
      <c r="D207" s="70"/>
      <c r="E207" s="70" t="s">
        <v>368</v>
      </c>
      <c r="F207" s="118" t="s">
        <v>1347</v>
      </c>
      <c r="L207" s="61"/>
      <c r="M207" s="63"/>
      <c r="N207" s="63"/>
      <c r="O207" s="63"/>
      <c r="P207" s="63"/>
      <c r="Q207" s="63"/>
      <c r="R207" s="63"/>
      <c r="S207" s="63"/>
      <c r="T207" s="63"/>
      <c r="U207" s="63"/>
      <c r="V207" s="63"/>
      <c r="W207" s="63"/>
      <c r="X207" s="117"/>
      <c r="Y207" s="173"/>
      <c r="Z207" s="63"/>
    </row>
    <row r="208" ht="14.25" customHeight="1">
      <c r="B208" s="148"/>
      <c r="C208" s="214" t="s">
        <v>1361</v>
      </c>
      <c r="D208" s="70" t="s">
        <v>1123</v>
      </c>
      <c r="E208" s="70"/>
      <c r="L208" s="61"/>
      <c r="M208" s="63"/>
      <c r="N208" s="63"/>
      <c r="O208" s="63"/>
      <c r="P208" s="63"/>
      <c r="Q208" s="63"/>
      <c r="R208" s="63"/>
      <c r="S208" s="63"/>
      <c r="T208" s="63"/>
      <c r="U208" s="63"/>
      <c r="V208" s="63"/>
      <c r="W208" s="63"/>
      <c r="X208" s="117"/>
      <c r="Y208" s="173"/>
      <c r="Z208" s="63"/>
    </row>
    <row r="209" ht="14.25" customHeight="1">
      <c r="B209" s="148"/>
      <c r="C209" s="144"/>
      <c r="D209" s="70" t="s">
        <v>845</v>
      </c>
      <c r="E209" s="70" t="s">
        <v>1278</v>
      </c>
      <c r="L209" s="61"/>
      <c r="M209" s="63"/>
      <c r="N209" s="63"/>
      <c r="O209" s="63"/>
      <c r="P209" s="63"/>
      <c r="Q209" s="63"/>
      <c r="R209" s="63"/>
      <c r="S209" s="63">
        <v>10.0</v>
      </c>
      <c r="T209" s="63">
        <v>4.0</v>
      </c>
      <c r="U209" s="63"/>
      <c r="V209" s="63"/>
      <c r="W209" s="63"/>
      <c r="X209" s="117"/>
      <c r="Y209" s="173"/>
      <c r="Z209" s="63"/>
    </row>
    <row r="210" ht="14.25" customHeight="1">
      <c r="B210" s="148"/>
      <c r="C210" s="144"/>
      <c r="D210" s="70" t="s">
        <v>847</v>
      </c>
      <c r="E210" s="70" t="s">
        <v>1280</v>
      </c>
      <c r="L210" s="61"/>
      <c r="M210" s="63"/>
      <c r="N210" s="63"/>
      <c r="O210" s="63"/>
      <c r="P210" s="63"/>
      <c r="Q210" s="63"/>
      <c r="R210" s="63"/>
      <c r="S210" s="63"/>
      <c r="T210" s="63"/>
      <c r="U210" s="63"/>
      <c r="V210" s="63"/>
      <c r="W210" s="63"/>
      <c r="X210" s="117"/>
      <c r="Y210" s="173"/>
      <c r="Z210" s="63"/>
    </row>
    <row r="211" ht="14.25" customHeight="1">
      <c r="B211" s="148"/>
      <c r="C211" s="144"/>
      <c r="D211" s="70" t="s">
        <v>858</v>
      </c>
      <c r="E211" s="70" t="s">
        <v>1281</v>
      </c>
      <c r="L211" s="61"/>
      <c r="M211" s="63"/>
      <c r="N211" s="63"/>
      <c r="O211" s="63"/>
      <c r="P211" s="63"/>
      <c r="Q211" s="63"/>
      <c r="R211" s="63"/>
      <c r="S211" s="63"/>
      <c r="T211" s="63"/>
      <c r="U211" s="63"/>
      <c r="V211" s="63"/>
      <c r="W211" s="63"/>
      <c r="X211" s="117"/>
      <c r="Y211" s="173"/>
      <c r="Z211" s="63"/>
    </row>
    <row r="212" ht="14.25" customHeight="1">
      <c r="B212" s="148"/>
      <c r="C212" s="144"/>
      <c r="D212" s="70"/>
      <c r="E212" s="70"/>
      <c r="L212" s="61"/>
      <c r="M212" s="63"/>
      <c r="N212" s="63"/>
      <c r="O212" s="63"/>
      <c r="P212" s="63"/>
      <c r="Q212" s="63"/>
      <c r="R212" s="63"/>
      <c r="S212" s="63"/>
      <c r="T212" s="63"/>
      <c r="U212" s="63"/>
      <c r="V212" s="63"/>
      <c r="W212" s="63"/>
      <c r="X212" s="117"/>
      <c r="Y212" s="173"/>
      <c r="Z212" s="63"/>
    </row>
    <row r="213" ht="14.25" customHeight="1">
      <c r="B213" s="148" t="s">
        <v>1362</v>
      </c>
      <c r="C213" s="144"/>
      <c r="D213" s="70"/>
      <c r="E213" s="70"/>
      <c r="L213" s="61"/>
      <c r="M213" s="63"/>
      <c r="N213" s="63"/>
      <c r="O213" s="63"/>
      <c r="P213" s="63"/>
      <c r="Q213" s="63"/>
      <c r="R213" s="63"/>
      <c r="S213" s="63"/>
      <c r="T213" s="63"/>
      <c r="U213" s="63"/>
      <c r="V213" s="63"/>
      <c r="W213" s="63"/>
      <c r="X213" s="117"/>
      <c r="Y213" s="173"/>
      <c r="Z213" s="63"/>
    </row>
    <row r="214" ht="14.25" customHeight="1">
      <c r="B214" s="148"/>
      <c r="C214" s="144"/>
      <c r="D214" s="70"/>
      <c r="E214" s="70"/>
      <c r="L214" s="61"/>
      <c r="M214" s="63"/>
      <c r="N214" s="63"/>
      <c r="O214" s="63"/>
      <c r="P214" s="63"/>
      <c r="Q214" s="63"/>
      <c r="R214" s="63"/>
      <c r="S214" s="63"/>
      <c r="T214" s="63"/>
      <c r="U214" s="63"/>
      <c r="V214" s="63"/>
      <c r="W214" s="63"/>
      <c r="X214" s="117"/>
      <c r="Y214" s="173"/>
      <c r="Z214" s="63"/>
    </row>
    <row r="215" ht="14.25" customHeight="1">
      <c r="B215" s="622" t="s">
        <v>1363</v>
      </c>
      <c r="C215" s="623" t="s">
        <v>1364</v>
      </c>
      <c r="D215" s="623"/>
      <c r="E215" s="144" t="s">
        <v>1365</v>
      </c>
      <c r="L215" s="61"/>
      <c r="M215" s="63"/>
      <c r="N215" s="63"/>
      <c r="O215" s="63"/>
      <c r="P215" s="63"/>
      <c r="Q215" s="63"/>
      <c r="R215" s="63"/>
      <c r="S215" s="63"/>
      <c r="T215" s="63"/>
      <c r="U215" s="63"/>
      <c r="V215" s="63"/>
      <c r="W215" s="63">
        <v>1066.0</v>
      </c>
      <c r="X215" s="117"/>
      <c r="Y215" s="173"/>
      <c r="Z215" s="63"/>
    </row>
    <row r="216" ht="14.25" customHeight="1">
      <c r="B216" s="624"/>
      <c r="C216" s="625" t="s">
        <v>1366</v>
      </c>
      <c r="D216" s="625"/>
      <c r="E216" s="118" t="s">
        <v>866</v>
      </c>
      <c r="F216" s="118" t="s">
        <v>1367</v>
      </c>
      <c r="L216" s="61"/>
      <c r="M216" s="63"/>
      <c r="N216" s="63"/>
      <c r="O216" s="63"/>
      <c r="P216" s="63"/>
      <c r="Q216" s="63"/>
      <c r="R216" s="63"/>
      <c r="S216" s="63"/>
      <c r="T216" s="63"/>
      <c r="U216" s="63"/>
      <c r="V216" s="63"/>
      <c r="W216" s="63">
        <v>222.0</v>
      </c>
      <c r="X216" s="117"/>
      <c r="Y216" s="173"/>
      <c r="Z216" s="63"/>
    </row>
    <row r="217" ht="14.25" customHeight="1">
      <c r="B217" s="626"/>
      <c r="C217" s="627" t="s">
        <v>1368</v>
      </c>
      <c r="D217" s="625"/>
      <c r="E217" s="70"/>
      <c r="F217" s="118" t="s">
        <v>868</v>
      </c>
      <c r="L217" s="61"/>
      <c r="M217" s="63"/>
      <c r="N217" s="63"/>
      <c r="O217" s="63"/>
      <c r="P217" s="63"/>
      <c r="Q217" s="63"/>
      <c r="R217" s="63"/>
      <c r="S217" s="63"/>
      <c r="T217" s="63"/>
      <c r="U217" s="63"/>
      <c r="V217" s="63"/>
      <c r="W217" s="63">
        <v>2.0</v>
      </c>
      <c r="X217" s="117"/>
      <c r="Y217" s="173"/>
      <c r="Z217" s="63"/>
    </row>
    <row r="218" ht="14.25" customHeight="1">
      <c r="B218" s="626"/>
      <c r="C218" s="625" t="s">
        <v>1369</v>
      </c>
      <c r="D218" s="625"/>
      <c r="E218" s="70"/>
      <c r="F218" s="118" t="s">
        <v>869</v>
      </c>
      <c r="L218" s="61"/>
      <c r="M218" s="63"/>
      <c r="N218" s="63"/>
      <c r="O218" s="63"/>
      <c r="P218" s="63"/>
      <c r="Q218" s="63"/>
      <c r="R218" s="63"/>
      <c r="S218" s="63"/>
      <c r="T218" s="63"/>
      <c r="U218" s="63"/>
      <c r="V218" s="63"/>
      <c r="W218" s="63">
        <v>12.0</v>
      </c>
      <c r="X218" s="117"/>
      <c r="Y218" s="173"/>
      <c r="Z218" s="63"/>
    </row>
    <row r="219" ht="14.25" customHeight="1">
      <c r="B219" s="626"/>
      <c r="C219" s="627" t="s">
        <v>1370</v>
      </c>
      <c r="D219" s="625"/>
      <c r="E219" s="70"/>
      <c r="F219" s="118" t="s">
        <v>870</v>
      </c>
      <c r="L219" s="61"/>
      <c r="M219" s="63"/>
      <c r="N219" s="63"/>
      <c r="O219" s="63"/>
      <c r="P219" s="63"/>
      <c r="Q219" s="63"/>
      <c r="R219" s="63"/>
      <c r="S219" s="63"/>
      <c r="T219" s="63"/>
      <c r="U219" s="63"/>
      <c r="V219" s="63"/>
      <c r="W219" s="63">
        <v>47.0</v>
      </c>
      <c r="X219" s="117"/>
      <c r="Y219" s="173"/>
      <c r="Z219" s="63"/>
    </row>
    <row r="220" ht="14.25" customHeight="1">
      <c r="B220" s="626"/>
      <c r="C220" s="627"/>
      <c r="D220" s="627"/>
      <c r="E220" s="70"/>
      <c r="F220" s="118" t="s">
        <v>871</v>
      </c>
      <c r="L220" s="61"/>
      <c r="M220" s="63"/>
      <c r="N220" s="63"/>
      <c r="O220" s="63"/>
      <c r="P220" s="63"/>
      <c r="Q220" s="63"/>
      <c r="R220" s="63"/>
      <c r="S220" s="63"/>
      <c r="T220" s="63"/>
      <c r="U220" s="63"/>
      <c r="V220" s="63"/>
      <c r="W220" s="63">
        <v>85.0</v>
      </c>
      <c r="X220" s="117"/>
      <c r="Y220" s="173"/>
      <c r="Z220" s="63"/>
    </row>
    <row r="221" ht="14.25" customHeight="1">
      <c r="B221" s="622"/>
      <c r="C221" s="625"/>
      <c r="D221" s="625"/>
      <c r="E221" s="70"/>
      <c r="F221" s="118" t="s">
        <v>872</v>
      </c>
      <c r="L221" s="61"/>
      <c r="M221" s="63"/>
      <c r="N221" s="63"/>
      <c r="O221" s="63"/>
      <c r="P221" s="63"/>
      <c r="Q221" s="63"/>
      <c r="R221" s="63"/>
      <c r="S221" s="63"/>
      <c r="T221" s="63"/>
      <c r="U221" s="63"/>
      <c r="V221" s="63"/>
      <c r="W221" s="63">
        <v>76.0</v>
      </c>
      <c r="X221" s="117"/>
      <c r="Y221" s="173"/>
      <c r="Z221" s="63"/>
    </row>
    <row r="222" ht="14.25" customHeight="1">
      <c r="B222" s="622"/>
      <c r="C222" s="625"/>
      <c r="D222" s="625"/>
      <c r="E222" s="70"/>
      <c r="F222" s="118" t="s">
        <v>873</v>
      </c>
      <c r="L222" s="61"/>
      <c r="M222" s="63"/>
      <c r="N222" s="63"/>
      <c r="O222" s="63"/>
      <c r="P222" s="63"/>
      <c r="Q222" s="63"/>
      <c r="R222" s="63"/>
      <c r="S222" s="63"/>
      <c r="T222" s="63"/>
      <c r="U222" s="63"/>
      <c r="V222" s="63"/>
      <c r="W222" s="63">
        <v>23.0</v>
      </c>
      <c r="X222" s="117"/>
      <c r="Y222" s="173"/>
      <c r="Z222" s="63"/>
    </row>
    <row r="223" ht="14.25" customHeight="1">
      <c r="B223" s="624"/>
      <c r="C223" s="625"/>
      <c r="D223" s="625"/>
      <c r="E223" s="70"/>
      <c r="F223" s="118" t="s">
        <v>845</v>
      </c>
      <c r="G223" s="118" t="s">
        <v>1371</v>
      </c>
      <c r="L223" s="61"/>
      <c r="M223" s="63"/>
      <c r="N223" s="63"/>
      <c r="O223" s="63"/>
      <c r="P223" s="63"/>
      <c r="Q223" s="63"/>
      <c r="R223" s="63"/>
      <c r="S223" s="63"/>
      <c r="T223" s="63"/>
      <c r="U223" s="63"/>
      <c r="V223" s="63"/>
      <c r="W223" s="63">
        <v>17.0</v>
      </c>
      <c r="X223" s="117"/>
      <c r="Y223" s="173"/>
      <c r="Z223" s="63"/>
    </row>
    <row r="224" ht="14.25" customHeight="1">
      <c r="B224" s="624"/>
      <c r="C224" s="625"/>
      <c r="D224" s="625"/>
      <c r="E224" s="70"/>
      <c r="G224" s="118" t="s">
        <v>868</v>
      </c>
      <c r="L224" s="61"/>
      <c r="M224" s="63"/>
      <c r="N224" s="63"/>
      <c r="O224" s="63"/>
      <c r="P224" s="63"/>
      <c r="Q224" s="63"/>
      <c r="R224" s="63"/>
      <c r="S224" s="63"/>
      <c r="T224" s="63"/>
      <c r="U224" s="63"/>
      <c r="V224" s="63"/>
      <c r="W224" s="63">
        <v>1.0</v>
      </c>
      <c r="X224" s="117"/>
      <c r="Y224" s="173"/>
      <c r="Z224" s="63"/>
    </row>
    <row r="225" ht="14.25" customHeight="1">
      <c r="B225" s="624"/>
      <c r="C225" s="625"/>
      <c r="D225" s="625"/>
      <c r="E225" s="70"/>
      <c r="G225" s="118" t="s">
        <v>869</v>
      </c>
      <c r="L225" s="61"/>
      <c r="M225" s="63"/>
      <c r="N225" s="63"/>
      <c r="O225" s="63"/>
      <c r="P225" s="63"/>
      <c r="Q225" s="63"/>
      <c r="R225" s="63"/>
      <c r="S225" s="63"/>
      <c r="T225" s="63"/>
      <c r="U225" s="63"/>
      <c r="V225" s="63"/>
      <c r="W225" s="63">
        <v>2.0</v>
      </c>
      <c r="X225" s="117"/>
      <c r="Y225" s="173"/>
      <c r="Z225" s="63"/>
    </row>
    <row r="226" ht="14.25" customHeight="1">
      <c r="B226" s="624"/>
      <c r="C226" s="625"/>
      <c r="D226" s="625"/>
      <c r="E226" s="144"/>
      <c r="G226" s="118" t="s">
        <v>870</v>
      </c>
      <c r="L226" s="61"/>
      <c r="M226" s="63"/>
      <c r="N226" s="63"/>
      <c r="O226" s="63"/>
      <c r="P226" s="63"/>
      <c r="Q226" s="63"/>
      <c r="R226" s="63"/>
      <c r="S226" s="63"/>
      <c r="T226" s="63"/>
      <c r="U226" s="63"/>
      <c r="V226" s="63"/>
      <c r="W226" s="63">
        <v>8.0</v>
      </c>
      <c r="X226" s="117"/>
      <c r="Y226" s="173"/>
      <c r="Z226" s="63"/>
    </row>
    <row r="227" ht="14.25" customHeight="1">
      <c r="B227" s="626"/>
      <c r="C227" s="627"/>
      <c r="D227" s="627"/>
      <c r="G227" s="118" t="s">
        <v>871</v>
      </c>
      <c r="L227" s="61"/>
      <c r="M227" s="63"/>
      <c r="N227" s="63"/>
      <c r="O227" s="63"/>
      <c r="P227" s="63"/>
      <c r="Q227" s="63"/>
      <c r="R227" s="63"/>
      <c r="S227" s="63"/>
      <c r="T227" s="63"/>
      <c r="U227" s="63"/>
      <c r="V227" s="63"/>
      <c r="W227" s="63">
        <v>4.0</v>
      </c>
      <c r="X227" s="117"/>
      <c r="Y227" s="173"/>
      <c r="Z227" s="63"/>
    </row>
    <row r="228" ht="14.25" customHeight="1">
      <c r="B228" s="626"/>
      <c r="C228" s="627"/>
      <c r="D228" s="627"/>
      <c r="E228" s="70"/>
      <c r="G228" s="118" t="s">
        <v>872</v>
      </c>
      <c r="L228" s="61"/>
      <c r="M228" s="63"/>
      <c r="N228" s="63"/>
      <c r="O228" s="63"/>
      <c r="P228" s="63"/>
      <c r="Q228" s="63"/>
      <c r="R228" s="63"/>
      <c r="S228" s="63"/>
      <c r="T228" s="63"/>
      <c r="U228" s="63"/>
      <c r="V228" s="63"/>
      <c r="W228" s="63">
        <v>2.0</v>
      </c>
      <c r="X228" s="117"/>
      <c r="Y228" s="173"/>
      <c r="Z228" s="63"/>
    </row>
    <row r="229" ht="14.25" customHeight="1">
      <c r="B229" s="626"/>
      <c r="C229" s="627"/>
      <c r="D229" s="627"/>
      <c r="E229" s="70"/>
      <c r="G229" s="118" t="s">
        <v>873</v>
      </c>
      <c r="L229" s="61"/>
      <c r="M229" s="63"/>
      <c r="N229" s="63"/>
      <c r="O229" s="63"/>
      <c r="P229" s="63"/>
      <c r="Q229" s="63"/>
      <c r="R229" s="63"/>
      <c r="S229" s="63"/>
      <c r="T229" s="63"/>
      <c r="U229" s="63"/>
      <c r="V229" s="63"/>
      <c r="W229" s="63">
        <v>0.0</v>
      </c>
      <c r="X229" s="117"/>
      <c r="Y229" s="173"/>
      <c r="Z229" s="63"/>
    </row>
    <row r="230" ht="14.25" customHeight="1">
      <c r="B230" s="626"/>
      <c r="C230" s="627"/>
      <c r="D230" s="627"/>
      <c r="E230" s="70"/>
      <c r="F230" s="118" t="s">
        <v>847</v>
      </c>
      <c r="G230" s="118" t="s">
        <v>1372</v>
      </c>
      <c r="L230" s="61"/>
      <c r="M230" s="63"/>
      <c r="N230" s="63"/>
      <c r="O230" s="63"/>
      <c r="P230" s="63"/>
      <c r="Q230" s="63"/>
      <c r="R230" s="63"/>
      <c r="S230" s="63"/>
      <c r="T230" s="63"/>
      <c r="U230" s="63"/>
      <c r="V230" s="63"/>
      <c r="W230" s="63">
        <v>55.0</v>
      </c>
      <c r="X230" s="117"/>
      <c r="Y230" s="173"/>
      <c r="Z230" s="63"/>
    </row>
    <row r="231" ht="14.25" customHeight="1">
      <c r="B231" s="626"/>
      <c r="C231" s="627"/>
      <c r="D231" s="627"/>
      <c r="E231" s="70"/>
      <c r="G231" s="118" t="s">
        <v>868</v>
      </c>
      <c r="L231" s="61"/>
      <c r="M231" s="63"/>
      <c r="N231" s="63"/>
      <c r="O231" s="63"/>
      <c r="P231" s="63"/>
      <c r="Q231" s="63"/>
      <c r="R231" s="63"/>
      <c r="S231" s="63"/>
      <c r="T231" s="63"/>
      <c r="U231" s="63"/>
      <c r="V231" s="63"/>
      <c r="W231" s="63">
        <v>1.0</v>
      </c>
      <c r="X231" s="117"/>
      <c r="Y231" s="173"/>
      <c r="Z231" s="63"/>
    </row>
    <row r="232" ht="14.25" customHeight="1">
      <c r="B232" s="626"/>
      <c r="C232" s="627"/>
      <c r="D232" s="627"/>
      <c r="E232" s="70"/>
      <c r="G232" s="118" t="s">
        <v>869</v>
      </c>
      <c r="L232" s="61"/>
      <c r="M232" s="63"/>
      <c r="N232" s="63"/>
      <c r="O232" s="63"/>
      <c r="P232" s="63"/>
      <c r="Q232" s="63"/>
      <c r="R232" s="63"/>
      <c r="S232" s="63"/>
      <c r="T232" s="63"/>
      <c r="U232" s="63"/>
      <c r="V232" s="63"/>
      <c r="W232" s="63">
        <v>3.0</v>
      </c>
      <c r="X232" s="117"/>
      <c r="Y232" s="173"/>
      <c r="Z232" s="63"/>
    </row>
    <row r="233" ht="14.25" customHeight="1">
      <c r="B233" s="626"/>
      <c r="C233" s="627"/>
      <c r="D233" s="627"/>
      <c r="E233" s="70"/>
      <c r="G233" s="118" t="s">
        <v>870</v>
      </c>
      <c r="L233" s="61"/>
      <c r="M233" s="63"/>
      <c r="N233" s="63"/>
      <c r="O233" s="63"/>
      <c r="P233" s="63"/>
      <c r="Q233" s="63"/>
      <c r="R233" s="63"/>
      <c r="S233" s="63"/>
      <c r="T233" s="63"/>
      <c r="U233" s="63"/>
      <c r="V233" s="63"/>
      <c r="W233" s="63">
        <v>16.0</v>
      </c>
      <c r="X233" s="117"/>
      <c r="Y233" s="173"/>
      <c r="Z233" s="63"/>
    </row>
    <row r="234" ht="14.25" customHeight="1">
      <c r="B234" s="626" t="s">
        <v>403</v>
      </c>
      <c r="C234" s="627"/>
      <c r="D234" s="627"/>
      <c r="E234" s="70"/>
      <c r="G234" s="118" t="s">
        <v>871</v>
      </c>
      <c r="L234" s="61"/>
      <c r="M234" s="63"/>
      <c r="N234" s="63"/>
      <c r="O234" s="63"/>
      <c r="P234" s="63"/>
      <c r="Q234" s="63"/>
      <c r="R234" s="63"/>
      <c r="S234" s="63"/>
      <c r="T234" s="63"/>
      <c r="U234" s="63"/>
      <c r="V234" s="63"/>
      <c r="W234" s="63">
        <v>21.0</v>
      </c>
      <c r="X234" s="117"/>
      <c r="Y234" s="173"/>
      <c r="Z234" s="63"/>
    </row>
    <row r="235" ht="14.25" customHeight="1">
      <c r="B235" s="626"/>
      <c r="C235" s="627"/>
      <c r="D235" s="627"/>
      <c r="E235" s="70"/>
      <c r="G235" s="118" t="s">
        <v>872</v>
      </c>
      <c r="L235" s="61"/>
      <c r="M235" s="63"/>
      <c r="N235" s="63"/>
      <c r="O235" s="63"/>
      <c r="P235" s="63"/>
      <c r="Q235" s="63"/>
      <c r="R235" s="63"/>
      <c r="S235" s="63"/>
      <c r="T235" s="63"/>
      <c r="U235" s="63"/>
      <c r="V235" s="63"/>
      <c r="W235" s="63">
        <v>14.0</v>
      </c>
      <c r="X235" s="117"/>
      <c r="Y235" s="173"/>
      <c r="Z235" s="63"/>
    </row>
    <row r="236" ht="14.25" customHeight="1">
      <c r="B236" s="626"/>
      <c r="C236" s="627"/>
      <c r="D236" s="627"/>
      <c r="E236" s="70"/>
      <c r="G236" s="118" t="s">
        <v>873</v>
      </c>
      <c r="L236" s="61"/>
      <c r="M236" s="63"/>
      <c r="N236" s="63"/>
      <c r="O236" s="63"/>
      <c r="P236" s="63"/>
      <c r="Q236" s="63"/>
      <c r="R236" s="63"/>
      <c r="S236" s="63"/>
      <c r="T236" s="63"/>
      <c r="U236" s="63"/>
      <c r="V236" s="63"/>
      <c r="W236" s="63">
        <v>0.0</v>
      </c>
      <c r="X236" s="117"/>
      <c r="Y236" s="173"/>
      <c r="Z236" s="63"/>
    </row>
    <row r="237" ht="14.25" customHeight="1">
      <c r="B237" s="626"/>
      <c r="C237" s="627"/>
      <c r="D237" s="627"/>
      <c r="E237" s="70"/>
      <c r="F237" s="118" t="s">
        <v>849</v>
      </c>
      <c r="G237" s="118" t="s">
        <v>1373</v>
      </c>
      <c r="L237" s="61"/>
      <c r="M237" s="63"/>
      <c r="N237" s="63"/>
      <c r="O237" s="63"/>
      <c r="P237" s="63"/>
      <c r="Q237" s="63"/>
      <c r="R237" s="63"/>
      <c r="S237" s="63"/>
      <c r="T237" s="63"/>
      <c r="U237" s="63"/>
      <c r="V237" s="63"/>
      <c r="W237" s="63"/>
      <c r="X237" s="117"/>
      <c r="Y237" s="173"/>
      <c r="Z237" s="63"/>
    </row>
    <row r="238" ht="14.25" customHeight="1">
      <c r="B238" s="626"/>
      <c r="C238" s="627"/>
      <c r="D238" s="627"/>
      <c r="E238" s="70"/>
      <c r="G238" s="118" t="s">
        <v>1374</v>
      </c>
      <c r="L238" s="61"/>
      <c r="M238" s="63"/>
      <c r="N238" s="63"/>
      <c r="O238" s="63"/>
      <c r="P238" s="63"/>
      <c r="Q238" s="63"/>
      <c r="R238" s="63"/>
      <c r="S238" s="63"/>
      <c r="T238" s="63"/>
      <c r="U238" s="63"/>
      <c r="V238" s="63"/>
      <c r="W238" s="63">
        <v>1.0</v>
      </c>
      <c r="X238" s="117"/>
      <c r="Y238" s="173"/>
      <c r="Z238" s="63"/>
    </row>
    <row r="239" ht="14.25" customHeight="1">
      <c r="B239" s="626"/>
      <c r="C239" s="627"/>
      <c r="D239" s="627"/>
      <c r="E239" s="183"/>
      <c r="G239" s="118" t="s">
        <v>868</v>
      </c>
      <c r="L239" s="61"/>
      <c r="M239" s="63"/>
      <c r="N239" s="63"/>
      <c r="O239" s="63"/>
      <c r="P239" s="63"/>
      <c r="Q239" s="63"/>
      <c r="R239" s="63"/>
      <c r="S239" s="63"/>
      <c r="T239" s="63"/>
      <c r="U239" s="63"/>
      <c r="V239" s="63"/>
      <c r="W239" s="63">
        <v>0.0</v>
      </c>
      <c r="X239" s="117"/>
      <c r="Y239" s="173"/>
      <c r="Z239" s="63"/>
    </row>
    <row r="240" ht="14.25" customHeight="1">
      <c r="B240" s="626"/>
      <c r="C240" s="627"/>
      <c r="D240" s="627"/>
      <c r="G240" s="118" t="s">
        <v>869</v>
      </c>
      <c r="L240" s="61"/>
      <c r="M240" s="63"/>
      <c r="N240" s="63"/>
      <c r="O240" s="63"/>
      <c r="P240" s="63"/>
      <c r="Q240" s="63"/>
      <c r="R240" s="505"/>
      <c r="S240" s="63"/>
      <c r="T240" s="63"/>
      <c r="U240" s="63"/>
      <c r="V240" s="63"/>
      <c r="W240" s="63">
        <v>1.0</v>
      </c>
      <c r="X240" s="117"/>
      <c r="Y240" s="173"/>
      <c r="Z240" s="63"/>
    </row>
    <row r="241" ht="14.25" customHeight="1">
      <c r="B241" s="626"/>
      <c r="C241" s="627"/>
      <c r="D241" s="627"/>
      <c r="G241" s="118" t="s">
        <v>870</v>
      </c>
      <c r="L241" s="61"/>
      <c r="M241" s="63"/>
      <c r="N241" s="63"/>
      <c r="O241" s="63"/>
      <c r="P241" s="63"/>
      <c r="Q241" s="63"/>
      <c r="R241" s="40"/>
      <c r="S241" s="63"/>
      <c r="T241" s="63"/>
      <c r="U241" s="63"/>
      <c r="V241" s="63"/>
      <c r="W241" s="63">
        <v>0.0</v>
      </c>
      <c r="X241" s="117"/>
      <c r="Y241" s="173"/>
      <c r="Z241" s="63"/>
    </row>
    <row r="242" ht="14.25" customHeight="1">
      <c r="B242" s="626"/>
      <c r="C242" s="627"/>
      <c r="D242" s="627"/>
      <c r="G242" s="118" t="s">
        <v>871</v>
      </c>
      <c r="L242" s="61"/>
      <c r="M242" s="63"/>
      <c r="N242" s="63"/>
      <c r="O242" s="63"/>
      <c r="P242" s="63"/>
      <c r="Q242" s="63"/>
      <c r="R242" s="40"/>
      <c r="S242" s="63"/>
      <c r="T242" s="63"/>
      <c r="U242" s="63"/>
      <c r="V242" s="63"/>
      <c r="W242" s="63">
        <v>0.0</v>
      </c>
      <c r="X242" s="117"/>
      <c r="Y242" s="173"/>
      <c r="Z242" s="63"/>
    </row>
    <row r="243" ht="14.25" customHeight="1">
      <c r="B243" s="626"/>
      <c r="C243" s="627"/>
      <c r="D243" s="627"/>
      <c r="G243" s="118" t="s">
        <v>872</v>
      </c>
      <c r="L243" s="61"/>
      <c r="M243" s="63"/>
      <c r="N243" s="63"/>
      <c r="O243" s="63"/>
      <c r="P243" s="63"/>
      <c r="Q243" s="63"/>
      <c r="R243" s="40"/>
      <c r="S243" s="63"/>
      <c r="T243" s="63"/>
      <c r="U243" s="63"/>
      <c r="V243" s="63"/>
      <c r="W243" s="63">
        <v>0.0</v>
      </c>
      <c r="X243" s="117"/>
      <c r="Y243" s="173"/>
      <c r="Z243" s="63"/>
    </row>
    <row r="244" ht="14.25" customHeight="1">
      <c r="B244" s="626"/>
      <c r="C244" s="627"/>
      <c r="D244" s="627"/>
      <c r="G244" s="118" t="s">
        <v>873</v>
      </c>
      <c r="L244" s="61"/>
      <c r="M244" s="63"/>
      <c r="N244" s="63"/>
      <c r="O244" s="63"/>
      <c r="P244" s="63"/>
      <c r="Q244" s="63"/>
      <c r="R244" s="40"/>
      <c r="S244" s="63"/>
      <c r="T244" s="63"/>
      <c r="U244" s="63"/>
      <c r="V244" s="63"/>
      <c r="W244" s="63">
        <v>0.0</v>
      </c>
      <c r="X244" s="117"/>
      <c r="Y244" s="173"/>
      <c r="Z244" s="63"/>
    </row>
    <row r="245" ht="14.25" customHeight="1">
      <c r="B245" s="626"/>
      <c r="C245" s="627"/>
      <c r="D245" s="627"/>
      <c r="F245" s="118" t="s">
        <v>858</v>
      </c>
      <c r="G245" s="118" t="s">
        <v>946</v>
      </c>
      <c r="L245" s="61"/>
      <c r="M245" s="63"/>
      <c r="N245" s="63"/>
      <c r="O245" s="63"/>
      <c r="P245" s="63"/>
      <c r="Q245" s="63"/>
      <c r="R245" s="90"/>
      <c r="S245" s="63"/>
      <c r="T245" s="63"/>
      <c r="U245" s="63"/>
      <c r="V245" s="63"/>
      <c r="W245" s="63">
        <v>71.0</v>
      </c>
      <c r="X245" s="117"/>
      <c r="Y245" s="173"/>
      <c r="Z245" s="63"/>
    </row>
    <row r="246" ht="14.25" customHeight="1">
      <c r="B246" s="626"/>
      <c r="C246" s="627"/>
      <c r="D246" s="627"/>
      <c r="E246" s="77"/>
      <c r="G246" s="118" t="s">
        <v>368</v>
      </c>
      <c r="H246" s="118" t="s">
        <v>878</v>
      </c>
      <c r="L246" s="61"/>
      <c r="M246" s="63"/>
      <c r="N246" s="63"/>
      <c r="O246" s="63"/>
      <c r="P246" s="63"/>
      <c r="Q246" s="63"/>
      <c r="R246" s="63"/>
      <c r="S246" s="63"/>
      <c r="T246" s="63"/>
      <c r="U246" s="63"/>
      <c r="V246" s="63"/>
      <c r="W246" s="63">
        <v>47.0</v>
      </c>
      <c r="X246" s="117"/>
      <c r="Y246" s="173"/>
      <c r="Z246" s="63"/>
    </row>
    <row r="247" ht="14.25" customHeight="1">
      <c r="B247" s="626"/>
      <c r="C247" s="627"/>
      <c r="D247" s="627"/>
      <c r="E247" s="183"/>
      <c r="H247" s="118" t="s">
        <v>868</v>
      </c>
      <c r="L247" s="61"/>
      <c r="M247" s="63"/>
      <c r="N247" s="63"/>
      <c r="O247" s="63"/>
      <c r="P247" s="63"/>
      <c r="Q247" s="63"/>
      <c r="R247" s="63"/>
      <c r="S247" s="63"/>
      <c r="T247" s="63"/>
      <c r="U247" s="63"/>
      <c r="V247" s="63"/>
      <c r="W247" s="63">
        <v>0.0</v>
      </c>
      <c r="X247" s="117"/>
      <c r="Y247" s="173"/>
      <c r="Z247" s="63"/>
    </row>
    <row r="248" ht="14.25" customHeight="1">
      <c r="B248" s="626"/>
      <c r="C248" s="627"/>
      <c r="D248" s="627"/>
      <c r="H248" s="118" t="s">
        <v>869</v>
      </c>
      <c r="L248" s="61"/>
      <c r="M248" s="63"/>
      <c r="N248" s="63"/>
      <c r="O248" s="63"/>
      <c r="P248" s="63"/>
      <c r="Q248" s="63"/>
      <c r="R248" s="63"/>
      <c r="S248" s="63"/>
      <c r="T248" s="63"/>
      <c r="U248" s="63"/>
      <c r="V248" s="63"/>
      <c r="W248" s="63">
        <v>2.0</v>
      </c>
      <c r="X248" s="117"/>
      <c r="Y248" s="173"/>
      <c r="Z248" s="63"/>
    </row>
    <row r="249" ht="14.25" customHeight="1">
      <c r="B249" s="626"/>
      <c r="C249" s="627"/>
      <c r="D249" s="627"/>
      <c r="H249" s="118" t="s">
        <v>870</v>
      </c>
      <c r="L249" s="61"/>
      <c r="M249" s="63"/>
      <c r="N249" s="63"/>
      <c r="O249" s="63"/>
      <c r="P249" s="63"/>
      <c r="Q249" s="63"/>
      <c r="R249" s="63"/>
      <c r="S249" s="63"/>
      <c r="T249" s="63"/>
      <c r="U249" s="63"/>
      <c r="V249" s="63"/>
      <c r="W249" s="63">
        <v>9.0</v>
      </c>
      <c r="X249" s="117"/>
      <c r="Y249" s="173"/>
      <c r="Z249" s="63"/>
    </row>
    <row r="250" ht="14.25" customHeight="1">
      <c r="B250" s="626"/>
      <c r="C250" s="627"/>
      <c r="D250" s="627"/>
      <c r="H250" s="118" t="s">
        <v>871</v>
      </c>
      <c r="L250" s="61"/>
      <c r="M250" s="63"/>
      <c r="N250" s="63"/>
      <c r="O250" s="63"/>
      <c r="P250" s="63"/>
      <c r="Q250" s="63"/>
      <c r="R250" s="63"/>
      <c r="S250" s="63"/>
      <c r="T250" s="63"/>
      <c r="U250" s="63"/>
      <c r="V250" s="63"/>
      <c r="W250" s="63">
        <v>17.0</v>
      </c>
      <c r="X250" s="117"/>
      <c r="Y250" s="173"/>
      <c r="Z250" s="63"/>
    </row>
    <row r="251" ht="14.25" customHeight="1">
      <c r="B251" s="626"/>
      <c r="C251" s="627"/>
      <c r="D251" s="627"/>
      <c r="H251" s="118" t="s">
        <v>872</v>
      </c>
      <c r="L251" s="61"/>
      <c r="M251" s="63"/>
      <c r="N251" s="63"/>
      <c r="O251" s="63"/>
      <c r="P251" s="63"/>
      <c r="Q251" s="63"/>
      <c r="R251" s="63"/>
      <c r="S251" s="63"/>
      <c r="T251" s="63"/>
      <c r="U251" s="63"/>
      <c r="V251" s="63"/>
      <c r="W251" s="63">
        <v>19.0</v>
      </c>
      <c r="X251" s="117"/>
      <c r="Y251" s="173"/>
      <c r="Z251" s="63"/>
    </row>
    <row r="252" ht="14.25" customHeight="1">
      <c r="B252" s="626"/>
      <c r="C252" s="627"/>
      <c r="D252" s="627"/>
      <c r="H252" s="118" t="s">
        <v>873</v>
      </c>
      <c r="L252" s="61"/>
      <c r="M252" s="63"/>
      <c r="N252" s="63"/>
      <c r="O252" s="63"/>
      <c r="P252" s="63"/>
      <c r="Q252" s="63"/>
      <c r="R252" s="63"/>
      <c r="S252" s="63"/>
      <c r="T252" s="63"/>
      <c r="U252" s="63"/>
      <c r="V252" s="63"/>
      <c r="W252" s="63">
        <v>0.0</v>
      </c>
      <c r="X252" s="117"/>
      <c r="Y252" s="173"/>
      <c r="Z252" s="63"/>
    </row>
    <row r="253" ht="14.25" customHeight="1">
      <c r="B253" s="626"/>
      <c r="C253" s="627"/>
      <c r="D253" s="627"/>
      <c r="G253" s="118" t="s">
        <v>368</v>
      </c>
      <c r="H253" s="118" t="s">
        <v>879</v>
      </c>
      <c r="L253" s="61"/>
      <c r="M253" s="63"/>
      <c r="N253" s="63"/>
      <c r="O253" s="63"/>
      <c r="P253" s="63"/>
      <c r="Q253" s="63"/>
      <c r="R253" s="63"/>
      <c r="S253" s="63"/>
      <c r="T253" s="63"/>
      <c r="U253" s="63"/>
      <c r="V253" s="63"/>
      <c r="W253" s="63">
        <v>18.0</v>
      </c>
      <c r="X253" s="117"/>
      <c r="Y253" s="173"/>
      <c r="Z253" s="63"/>
    </row>
    <row r="254" ht="14.25" customHeight="1">
      <c r="B254" s="626"/>
      <c r="C254" s="627"/>
      <c r="D254" s="627"/>
      <c r="H254" s="118" t="s">
        <v>868</v>
      </c>
      <c r="L254" s="61"/>
      <c r="M254" s="63"/>
      <c r="N254" s="63"/>
      <c r="O254" s="63"/>
      <c r="P254" s="63"/>
      <c r="Q254" s="63"/>
      <c r="R254" s="63"/>
      <c r="S254" s="63"/>
      <c r="T254" s="63"/>
      <c r="U254" s="63"/>
      <c r="V254" s="63"/>
      <c r="W254" s="63">
        <v>0.0</v>
      </c>
      <c r="X254" s="117"/>
      <c r="Y254" s="173"/>
      <c r="Z254" s="63"/>
    </row>
    <row r="255" ht="14.25" customHeight="1">
      <c r="B255" s="626"/>
      <c r="C255" s="627"/>
      <c r="D255" s="627"/>
      <c r="H255" s="118" t="s">
        <v>869</v>
      </c>
      <c r="L255" s="61"/>
      <c r="M255" s="63"/>
      <c r="N255" s="63"/>
      <c r="O255" s="63"/>
      <c r="P255" s="63"/>
      <c r="Q255" s="63"/>
      <c r="R255" s="63"/>
      <c r="S255" s="63"/>
      <c r="T255" s="63"/>
      <c r="U255" s="63"/>
      <c r="V255" s="63"/>
      <c r="W255" s="63">
        <v>1.0</v>
      </c>
      <c r="X255" s="117"/>
      <c r="Y255" s="89"/>
      <c r="Z255" s="63"/>
    </row>
    <row r="256" ht="14.25" customHeight="1">
      <c r="B256" s="626"/>
      <c r="C256" s="627"/>
      <c r="D256" s="627"/>
      <c r="H256" s="118" t="s">
        <v>870</v>
      </c>
      <c r="L256" s="61"/>
      <c r="M256" s="63"/>
      <c r="N256" s="63"/>
      <c r="O256" s="63"/>
      <c r="P256" s="63"/>
      <c r="Q256" s="63"/>
      <c r="R256" s="63"/>
      <c r="S256" s="63"/>
      <c r="T256" s="63"/>
      <c r="U256" s="63"/>
      <c r="V256" s="63"/>
      <c r="W256" s="63">
        <v>3.0</v>
      </c>
      <c r="X256" s="117"/>
      <c r="Y256" s="89"/>
      <c r="Z256" s="63"/>
    </row>
    <row r="257" ht="15.75" customHeight="1">
      <c r="B257" s="626"/>
      <c r="C257" s="627"/>
      <c r="D257" s="627"/>
      <c r="H257" s="118" t="s">
        <v>871</v>
      </c>
      <c r="L257" s="61"/>
      <c r="M257" s="63"/>
      <c r="N257" s="63"/>
      <c r="O257" s="63"/>
      <c r="P257" s="63"/>
      <c r="Q257" s="63"/>
      <c r="R257" s="63"/>
      <c r="S257" s="63"/>
      <c r="T257" s="63"/>
      <c r="U257" s="63"/>
      <c r="V257" s="63"/>
      <c r="W257" s="63">
        <v>12.0</v>
      </c>
      <c r="X257" s="117"/>
      <c r="Y257" s="173"/>
      <c r="Z257" s="63"/>
    </row>
    <row r="258" ht="14.25" customHeight="1">
      <c r="B258" s="626"/>
      <c r="C258" s="627"/>
      <c r="D258" s="627"/>
      <c r="H258" s="118" t="s">
        <v>872</v>
      </c>
      <c r="L258" s="61"/>
      <c r="M258" s="63"/>
      <c r="N258" s="63"/>
      <c r="O258" s="63"/>
      <c r="P258" s="63"/>
      <c r="Q258" s="63"/>
      <c r="R258" s="63"/>
      <c r="S258" s="63"/>
      <c r="T258" s="63"/>
      <c r="U258" s="63"/>
      <c r="V258" s="63"/>
      <c r="W258" s="63">
        <v>2.0</v>
      </c>
      <c r="X258" s="117"/>
      <c r="Y258" s="173"/>
      <c r="Z258" s="63"/>
    </row>
    <row r="259" ht="14.25" customHeight="1">
      <c r="B259" s="626"/>
      <c r="C259" s="627"/>
      <c r="D259" s="627"/>
      <c r="E259" s="77"/>
      <c r="H259" s="118" t="s">
        <v>873</v>
      </c>
      <c r="L259" s="61"/>
      <c r="M259" s="63"/>
      <c r="N259" s="63"/>
      <c r="O259" s="63"/>
      <c r="P259" s="63"/>
      <c r="Q259" s="63"/>
      <c r="R259" s="63"/>
      <c r="S259" s="63"/>
      <c r="T259" s="63"/>
      <c r="U259" s="63"/>
      <c r="V259" s="63"/>
      <c r="W259" s="63">
        <v>0.0</v>
      </c>
      <c r="X259" s="117"/>
      <c r="Y259" s="173"/>
      <c r="Z259" s="63"/>
    </row>
    <row r="260" ht="14.25" customHeight="1">
      <c r="B260" s="626"/>
      <c r="C260" s="627"/>
      <c r="D260" s="627"/>
      <c r="E260" s="77"/>
      <c r="G260" s="118" t="s">
        <v>368</v>
      </c>
      <c r="H260" s="118" t="s">
        <v>880</v>
      </c>
      <c r="L260" s="61"/>
      <c r="M260" s="63"/>
      <c r="N260" s="63"/>
      <c r="O260" s="63"/>
      <c r="P260" s="63"/>
      <c r="Q260" s="63"/>
      <c r="R260" s="63"/>
      <c r="S260" s="63"/>
      <c r="T260" s="63"/>
      <c r="U260" s="63"/>
      <c r="V260" s="63"/>
      <c r="W260" s="63">
        <v>6.0</v>
      </c>
      <c r="X260" s="117"/>
      <c r="Y260" s="173"/>
      <c r="Z260" s="63"/>
    </row>
    <row r="261" ht="14.25" customHeight="1">
      <c r="B261" s="626"/>
      <c r="C261" s="627"/>
      <c r="D261" s="627"/>
      <c r="E261" s="77"/>
      <c r="H261" s="118" t="s">
        <v>868</v>
      </c>
      <c r="L261" s="61"/>
      <c r="M261" s="63"/>
      <c r="N261" s="63"/>
      <c r="O261" s="63"/>
      <c r="P261" s="63"/>
      <c r="Q261" s="63"/>
      <c r="R261" s="63"/>
      <c r="S261" s="63"/>
      <c r="T261" s="63"/>
      <c r="U261" s="63"/>
      <c r="V261" s="63"/>
      <c r="W261" s="63">
        <v>0.0</v>
      </c>
      <c r="X261" s="117"/>
      <c r="Y261" s="173"/>
      <c r="Z261" s="63"/>
    </row>
    <row r="262" ht="14.25" customHeight="1">
      <c r="B262" s="626"/>
      <c r="C262" s="627"/>
      <c r="D262" s="627"/>
      <c r="E262" s="233"/>
      <c r="H262" s="118" t="s">
        <v>869</v>
      </c>
      <c r="L262" s="61"/>
      <c r="M262" s="63"/>
      <c r="N262" s="63"/>
      <c r="O262" s="63"/>
      <c r="P262" s="63"/>
      <c r="Q262" s="63"/>
      <c r="R262" s="63"/>
      <c r="S262" s="63"/>
      <c r="T262" s="63"/>
      <c r="U262" s="63"/>
      <c r="V262" s="63"/>
      <c r="W262" s="63">
        <v>0.0</v>
      </c>
      <c r="X262" s="117"/>
      <c r="Y262" s="173"/>
      <c r="Z262" s="63"/>
    </row>
    <row r="263" ht="14.25" customHeight="1">
      <c r="B263" s="626"/>
      <c r="C263" s="627"/>
      <c r="D263" s="627"/>
      <c r="E263" s="77"/>
      <c r="H263" s="118" t="s">
        <v>870</v>
      </c>
      <c r="L263" s="61"/>
      <c r="M263" s="63"/>
      <c r="N263" s="63"/>
      <c r="O263" s="63"/>
      <c r="P263" s="63"/>
      <c r="Q263" s="63"/>
      <c r="R263" s="63"/>
      <c r="S263" s="63"/>
      <c r="T263" s="63"/>
      <c r="U263" s="63"/>
      <c r="V263" s="63"/>
      <c r="W263" s="63">
        <v>0.0</v>
      </c>
      <c r="X263" s="117"/>
      <c r="Y263" s="173"/>
      <c r="Z263" s="63"/>
    </row>
    <row r="264" ht="14.25" customHeight="1">
      <c r="B264" s="626"/>
      <c r="C264" s="627"/>
      <c r="D264" s="627"/>
      <c r="E264" s="233"/>
      <c r="H264" s="118" t="s">
        <v>871</v>
      </c>
      <c r="L264" s="61"/>
      <c r="M264" s="63"/>
      <c r="N264" s="63"/>
      <c r="O264" s="63"/>
      <c r="P264" s="63"/>
      <c r="Q264" s="63"/>
      <c r="R264" s="63"/>
      <c r="S264" s="63"/>
      <c r="T264" s="63"/>
      <c r="U264" s="63"/>
      <c r="V264" s="63"/>
      <c r="W264" s="63">
        <v>3.0</v>
      </c>
      <c r="X264" s="117"/>
      <c r="Y264" s="173"/>
      <c r="Z264" s="63"/>
    </row>
    <row r="265" ht="14.25" customHeight="1">
      <c r="B265" s="626"/>
      <c r="C265" s="627"/>
      <c r="D265" s="627"/>
      <c r="H265" s="118" t="s">
        <v>872</v>
      </c>
      <c r="L265" s="61"/>
      <c r="M265" s="63"/>
      <c r="N265" s="63"/>
      <c r="O265" s="63"/>
      <c r="P265" s="63"/>
      <c r="Q265" s="63"/>
      <c r="R265" s="63"/>
      <c r="S265" s="63"/>
      <c r="T265" s="63"/>
      <c r="U265" s="63"/>
      <c r="V265" s="63"/>
      <c r="W265" s="63">
        <v>3.0</v>
      </c>
      <c r="X265" s="117"/>
      <c r="Y265" s="173"/>
      <c r="Z265" s="63"/>
    </row>
    <row r="266" ht="14.25" customHeight="1">
      <c r="B266" s="626"/>
      <c r="C266" s="627"/>
      <c r="D266" s="627"/>
      <c r="H266" s="118" t="s">
        <v>873</v>
      </c>
      <c r="L266" s="61"/>
      <c r="M266" s="63"/>
      <c r="N266" s="63"/>
      <c r="O266" s="63"/>
      <c r="P266" s="63"/>
      <c r="Q266" s="63"/>
      <c r="R266" s="63"/>
      <c r="S266" s="63"/>
      <c r="T266" s="63"/>
      <c r="U266" s="63"/>
      <c r="V266" s="63"/>
      <c r="W266" s="63">
        <v>0.0</v>
      </c>
      <c r="X266" s="117"/>
      <c r="Y266" s="89"/>
      <c r="Z266" s="63"/>
    </row>
    <row r="267" ht="14.25" customHeight="1">
      <c r="B267" s="626"/>
      <c r="C267" s="627"/>
      <c r="D267" s="627"/>
      <c r="F267" s="118" t="s">
        <v>860</v>
      </c>
      <c r="G267" s="118" t="s">
        <v>1375</v>
      </c>
      <c r="L267" s="61"/>
      <c r="M267" s="63"/>
      <c r="N267" s="63"/>
      <c r="O267" s="63"/>
      <c r="P267" s="63"/>
      <c r="Q267" s="63"/>
      <c r="R267" s="63"/>
      <c r="S267" s="63"/>
      <c r="T267" s="63"/>
      <c r="U267" s="63"/>
      <c r="V267" s="63"/>
      <c r="W267" s="63">
        <v>0.0</v>
      </c>
      <c r="X267" s="117"/>
      <c r="Y267" s="89"/>
      <c r="Z267" s="63"/>
    </row>
    <row r="268" ht="14.25" customHeight="1">
      <c r="B268" s="626"/>
      <c r="C268" s="627"/>
      <c r="D268" s="627"/>
      <c r="G268" s="118" t="s">
        <v>368</v>
      </c>
      <c r="H268" s="118" t="s">
        <v>882</v>
      </c>
      <c r="L268" s="61"/>
      <c r="M268" s="63"/>
      <c r="N268" s="63"/>
      <c r="O268" s="63"/>
      <c r="P268" s="63"/>
      <c r="Q268" s="63"/>
      <c r="R268" s="63"/>
      <c r="S268" s="63"/>
      <c r="T268" s="63"/>
      <c r="U268" s="63"/>
      <c r="V268" s="63"/>
      <c r="W268" s="63">
        <v>0.0</v>
      </c>
      <c r="X268" s="117"/>
      <c r="Y268" s="89"/>
      <c r="Z268" s="63"/>
    </row>
    <row r="269" ht="14.25" customHeight="1">
      <c r="B269" s="626"/>
      <c r="C269" s="627"/>
      <c r="D269" s="627"/>
      <c r="H269" s="118" t="s">
        <v>868</v>
      </c>
      <c r="L269" s="61"/>
      <c r="M269" s="63"/>
      <c r="N269" s="63"/>
      <c r="O269" s="63"/>
      <c r="P269" s="63"/>
      <c r="Q269" s="63"/>
      <c r="R269" s="63"/>
      <c r="S269" s="63"/>
      <c r="T269" s="63"/>
      <c r="U269" s="63"/>
      <c r="V269" s="63"/>
      <c r="W269" s="63">
        <v>0.0</v>
      </c>
      <c r="X269" s="117"/>
      <c r="Y269" s="173"/>
      <c r="Z269" s="63"/>
    </row>
    <row r="270" ht="14.25" customHeight="1">
      <c r="B270" s="626"/>
      <c r="C270" s="627"/>
      <c r="D270" s="627"/>
      <c r="H270" s="118" t="s">
        <v>869</v>
      </c>
      <c r="L270" s="61"/>
      <c r="M270" s="63"/>
      <c r="N270" s="63"/>
      <c r="O270" s="63"/>
      <c r="P270" s="63"/>
      <c r="Q270" s="63"/>
      <c r="R270" s="63"/>
      <c r="S270" s="63"/>
      <c r="T270" s="63"/>
      <c r="U270" s="63"/>
      <c r="V270" s="63"/>
      <c r="W270" s="63">
        <v>0.0</v>
      </c>
      <c r="X270" s="117"/>
      <c r="Y270" s="173"/>
      <c r="Z270" s="63"/>
    </row>
    <row r="271" ht="14.25" customHeight="1">
      <c r="B271" s="626"/>
      <c r="C271" s="627"/>
      <c r="D271" s="627"/>
      <c r="H271" s="118" t="s">
        <v>870</v>
      </c>
      <c r="L271" s="61"/>
      <c r="M271" s="63"/>
      <c r="N271" s="63"/>
      <c r="O271" s="63"/>
      <c r="P271" s="63"/>
      <c r="Q271" s="63"/>
      <c r="R271" s="63"/>
      <c r="S271" s="63"/>
      <c r="T271" s="63"/>
      <c r="U271" s="63"/>
      <c r="V271" s="63"/>
      <c r="W271" s="63">
        <v>0.0</v>
      </c>
      <c r="X271" s="117"/>
      <c r="Y271" s="173"/>
      <c r="Z271" s="63"/>
    </row>
    <row r="272" ht="14.25" customHeight="1">
      <c r="B272" s="626"/>
      <c r="C272" s="627"/>
      <c r="D272" s="627"/>
      <c r="H272" s="118" t="s">
        <v>871</v>
      </c>
      <c r="L272" s="61"/>
      <c r="M272" s="63"/>
      <c r="N272" s="63"/>
      <c r="O272" s="63"/>
      <c r="P272" s="63"/>
      <c r="Q272" s="63"/>
      <c r="R272" s="63"/>
      <c r="S272" s="63"/>
      <c r="T272" s="63"/>
      <c r="U272" s="63"/>
      <c r="V272" s="63"/>
      <c r="W272" s="63">
        <v>0.0</v>
      </c>
      <c r="X272" s="117"/>
      <c r="Y272" s="173"/>
      <c r="Z272" s="63"/>
    </row>
    <row r="273" ht="14.25" customHeight="1">
      <c r="B273" s="626"/>
      <c r="C273" s="627"/>
      <c r="D273" s="627"/>
      <c r="H273" s="118" t="s">
        <v>872</v>
      </c>
      <c r="L273" s="61"/>
      <c r="M273" s="63"/>
      <c r="N273" s="63"/>
      <c r="O273" s="63"/>
      <c r="P273" s="63"/>
      <c r="Q273" s="63"/>
      <c r="R273" s="63"/>
      <c r="S273" s="63"/>
      <c r="T273" s="63"/>
      <c r="U273" s="63"/>
      <c r="V273" s="63"/>
      <c r="W273" s="63">
        <v>0.0</v>
      </c>
      <c r="X273" s="117"/>
      <c r="Y273" s="173"/>
      <c r="Z273" s="63"/>
    </row>
    <row r="274" ht="14.25" customHeight="1">
      <c r="B274" s="626"/>
      <c r="C274" s="627"/>
      <c r="D274" s="627"/>
      <c r="H274" s="118" t="s">
        <v>873</v>
      </c>
      <c r="L274" s="61"/>
      <c r="M274" s="63"/>
      <c r="N274" s="63"/>
      <c r="O274" s="63"/>
      <c r="P274" s="63"/>
      <c r="Q274" s="63"/>
      <c r="R274" s="63"/>
      <c r="S274" s="63"/>
      <c r="T274" s="63"/>
      <c r="U274" s="63"/>
      <c r="V274" s="63"/>
      <c r="W274" s="63">
        <v>0.0</v>
      </c>
      <c r="X274" s="117"/>
      <c r="Y274" s="173"/>
      <c r="Z274" s="63"/>
    </row>
    <row r="275" ht="14.25" customHeight="1">
      <c r="B275" s="626"/>
      <c r="C275" s="627"/>
      <c r="D275" s="627"/>
      <c r="G275" s="118" t="s">
        <v>368</v>
      </c>
      <c r="H275" s="118" t="s">
        <v>883</v>
      </c>
      <c r="L275" s="61"/>
      <c r="M275" s="63"/>
      <c r="N275" s="63"/>
      <c r="O275" s="63"/>
      <c r="P275" s="63"/>
      <c r="Q275" s="63"/>
      <c r="R275" s="63"/>
      <c r="S275" s="63"/>
      <c r="T275" s="63"/>
      <c r="U275" s="63"/>
      <c r="V275" s="63"/>
      <c r="W275" s="63">
        <v>0.0</v>
      </c>
      <c r="X275" s="117"/>
      <c r="Y275" s="173"/>
      <c r="Z275" s="63"/>
    </row>
    <row r="276" ht="14.25" customHeight="1">
      <c r="B276" s="626"/>
      <c r="C276" s="627"/>
      <c r="D276" s="627"/>
      <c r="H276" s="118" t="s">
        <v>868</v>
      </c>
      <c r="L276" s="61"/>
      <c r="M276" s="63"/>
      <c r="N276" s="63"/>
      <c r="O276" s="63"/>
      <c r="P276" s="63"/>
      <c r="Q276" s="63"/>
      <c r="R276" s="63"/>
      <c r="S276" s="63"/>
      <c r="T276" s="63"/>
      <c r="U276" s="63"/>
      <c r="V276" s="63"/>
      <c r="W276" s="63">
        <v>0.0</v>
      </c>
      <c r="X276" s="117"/>
      <c r="Y276" s="173"/>
      <c r="Z276" s="63"/>
    </row>
    <row r="277" ht="14.25" customHeight="1">
      <c r="B277" s="626"/>
      <c r="C277" s="627"/>
      <c r="D277" s="627"/>
      <c r="H277" s="118" t="s">
        <v>869</v>
      </c>
      <c r="L277" s="61"/>
      <c r="M277" s="63"/>
      <c r="N277" s="63"/>
      <c r="O277" s="63"/>
      <c r="P277" s="63"/>
      <c r="Q277" s="63"/>
      <c r="R277" s="63"/>
      <c r="S277" s="63"/>
      <c r="T277" s="63"/>
      <c r="U277" s="63"/>
      <c r="V277" s="63"/>
      <c r="W277" s="63">
        <v>0.0</v>
      </c>
      <c r="X277" s="117"/>
      <c r="Y277" s="173"/>
      <c r="Z277" s="63"/>
    </row>
    <row r="278" ht="14.25" customHeight="1">
      <c r="B278" s="626"/>
      <c r="C278" s="627"/>
      <c r="D278" s="627"/>
      <c r="E278" s="77"/>
      <c r="H278" s="118" t="s">
        <v>870</v>
      </c>
      <c r="L278" s="61"/>
      <c r="M278" s="63"/>
      <c r="N278" s="63"/>
      <c r="O278" s="63"/>
      <c r="P278" s="63"/>
      <c r="Q278" s="63"/>
      <c r="R278" s="63"/>
      <c r="S278" s="63"/>
      <c r="T278" s="63"/>
      <c r="U278" s="63"/>
      <c r="V278" s="63"/>
      <c r="W278" s="63">
        <v>0.0</v>
      </c>
      <c r="X278" s="117"/>
      <c r="Y278" s="173"/>
      <c r="Z278" s="63"/>
    </row>
    <row r="279" ht="14.25" customHeight="1">
      <c r="B279" s="626"/>
      <c r="C279" s="627"/>
      <c r="D279" s="627"/>
      <c r="E279" s="77"/>
      <c r="H279" s="118" t="s">
        <v>871</v>
      </c>
      <c r="L279" s="61"/>
      <c r="M279" s="63"/>
      <c r="N279" s="63"/>
      <c r="O279" s="63"/>
      <c r="P279" s="63"/>
      <c r="Q279" s="63"/>
      <c r="R279" s="63"/>
      <c r="S279" s="63"/>
      <c r="T279" s="63"/>
      <c r="U279" s="63"/>
      <c r="V279" s="63"/>
      <c r="W279" s="63">
        <v>0.0</v>
      </c>
      <c r="X279" s="117"/>
      <c r="Y279" s="89"/>
      <c r="Z279" s="63"/>
    </row>
    <row r="280" ht="14.25" customHeight="1">
      <c r="B280" s="626"/>
      <c r="C280" s="627"/>
      <c r="D280" s="627"/>
      <c r="E280" s="77"/>
      <c r="H280" s="118" t="s">
        <v>872</v>
      </c>
      <c r="L280" s="61"/>
      <c r="M280" s="63"/>
      <c r="N280" s="63"/>
      <c r="O280" s="63"/>
      <c r="P280" s="63"/>
      <c r="Q280" s="63"/>
      <c r="R280" s="63"/>
      <c r="S280" s="63"/>
      <c r="T280" s="63"/>
      <c r="U280" s="63"/>
      <c r="V280" s="63"/>
      <c r="W280" s="63">
        <v>0.0</v>
      </c>
      <c r="X280" s="117"/>
      <c r="Y280" s="89"/>
      <c r="Z280" s="63"/>
    </row>
    <row r="281" ht="14.25" customHeight="1">
      <c r="B281" s="626"/>
      <c r="C281" s="627"/>
      <c r="D281" s="627"/>
      <c r="E281" s="77"/>
      <c r="H281" s="118" t="s">
        <v>873</v>
      </c>
      <c r="L281" s="61"/>
      <c r="M281" s="63"/>
      <c r="N281" s="63"/>
      <c r="O281" s="63"/>
      <c r="P281" s="63"/>
      <c r="Q281" s="63"/>
      <c r="R281" s="63"/>
      <c r="S281" s="63"/>
      <c r="T281" s="63"/>
      <c r="U281" s="63"/>
      <c r="V281" s="63"/>
      <c r="W281" s="63">
        <v>0.0</v>
      </c>
      <c r="X281" s="117"/>
      <c r="Y281" s="89"/>
      <c r="Z281" s="63"/>
    </row>
    <row r="282" ht="14.25" customHeight="1">
      <c r="B282" s="626"/>
      <c r="C282" s="627"/>
      <c r="D282" s="627"/>
      <c r="E282" s="77"/>
      <c r="G282" s="118" t="s">
        <v>368</v>
      </c>
      <c r="H282" s="118" t="s">
        <v>884</v>
      </c>
      <c r="L282" s="61"/>
      <c r="M282" s="63"/>
      <c r="N282" s="63"/>
      <c r="O282" s="63"/>
      <c r="P282" s="63"/>
      <c r="Q282" s="63"/>
      <c r="R282" s="63"/>
      <c r="S282" s="63"/>
      <c r="T282" s="63"/>
      <c r="U282" s="63"/>
      <c r="V282" s="63"/>
      <c r="W282" s="63">
        <v>0.0</v>
      </c>
      <c r="X282" s="117"/>
      <c r="Y282" s="89"/>
      <c r="Z282" s="63"/>
    </row>
    <row r="283" ht="14.25" customHeight="1">
      <c r="B283" s="626"/>
      <c r="C283" s="627"/>
      <c r="D283" s="627"/>
      <c r="E283" s="77"/>
      <c r="H283" s="118" t="s">
        <v>868</v>
      </c>
      <c r="L283" s="61"/>
      <c r="M283" s="63"/>
      <c r="N283" s="63"/>
      <c r="O283" s="63"/>
      <c r="P283" s="63"/>
      <c r="Q283" s="63"/>
      <c r="R283" s="63"/>
      <c r="S283" s="63"/>
      <c r="T283" s="63"/>
      <c r="U283" s="63"/>
      <c r="V283" s="63"/>
      <c r="W283" s="63">
        <v>0.0</v>
      </c>
      <c r="X283" s="117"/>
      <c r="Y283" s="173"/>
      <c r="Z283" s="63"/>
    </row>
    <row r="284" ht="14.25" customHeight="1">
      <c r="B284" s="626"/>
      <c r="C284" s="627"/>
      <c r="D284" s="627"/>
      <c r="E284" s="233"/>
      <c r="H284" s="118" t="s">
        <v>869</v>
      </c>
      <c r="L284" s="61"/>
      <c r="M284" s="63"/>
      <c r="N284" s="63"/>
      <c r="O284" s="63"/>
      <c r="P284" s="63"/>
      <c r="Q284" s="63"/>
      <c r="R284" s="63"/>
      <c r="S284" s="63"/>
      <c r="T284" s="63"/>
      <c r="U284" s="63"/>
      <c r="V284" s="63"/>
      <c r="W284" s="63">
        <v>0.0</v>
      </c>
      <c r="X284" s="117"/>
      <c r="Y284" s="173"/>
      <c r="Z284" s="63"/>
    </row>
    <row r="285" ht="14.25" customHeight="1">
      <c r="B285" s="626"/>
      <c r="C285" s="627"/>
      <c r="D285" s="627"/>
      <c r="E285" s="77"/>
      <c r="H285" s="118" t="s">
        <v>870</v>
      </c>
      <c r="L285" s="61"/>
      <c r="M285" s="63"/>
      <c r="N285" s="63"/>
      <c r="O285" s="63"/>
      <c r="P285" s="63"/>
      <c r="Q285" s="63"/>
      <c r="R285" s="63"/>
      <c r="S285" s="63"/>
      <c r="T285" s="63"/>
      <c r="U285" s="63"/>
      <c r="V285" s="63"/>
      <c r="W285" s="63">
        <v>0.0</v>
      </c>
      <c r="X285" s="117"/>
      <c r="Y285" s="173"/>
      <c r="Z285" s="63"/>
    </row>
    <row r="286" ht="14.25" customHeight="1">
      <c r="B286" s="626"/>
      <c r="C286" s="627"/>
      <c r="D286" s="627"/>
      <c r="E286" s="233"/>
      <c r="H286" s="118" t="s">
        <v>871</v>
      </c>
      <c r="L286" s="61"/>
      <c r="M286" s="63"/>
      <c r="N286" s="63"/>
      <c r="O286" s="63"/>
      <c r="P286" s="63"/>
      <c r="Q286" s="63"/>
      <c r="R286" s="63"/>
      <c r="S286" s="63"/>
      <c r="T286" s="63"/>
      <c r="U286" s="63"/>
      <c r="V286" s="63"/>
      <c r="W286" s="63">
        <v>0.0</v>
      </c>
      <c r="X286" s="117"/>
      <c r="Y286" s="173"/>
      <c r="Z286" s="63"/>
    </row>
    <row r="287" ht="14.25" customHeight="1">
      <c r="B287" s="626"/>
      <c r="C287" s="627"/>
      <c r="D287" s="627"/>
      <c r="H287" s="118" t="s">
        <v>872</v>
      </c>
      <c r="L287" s="61"/>
      <c r="M287" s="63"/>
      <c r="N287" s="63"/>
      <c r="O287" s="63"/>
      <c r="P287" s="63"/>
      <c r="Q287" s="63"/>
      <c r="R287" s="63"/>
      <c r="S287" s="63"/>
      <c r="T287" s="63"/>
      <c r="U287" s="63"/>
      <c r="V287" s="63"/>
      <c r="W287" s="63">
        <v>0.0</v>
      </c>
      <c r="X287" s="117"/>
      <c r="Y287" s="173"/>
      <c r="Z287" s="63"/>
    </row>
    <row r="288" ht="14.25" customHeight="1">
      <c r="B288" s="626"/>
      <c r="C288" s="627"/>
      <c r="D288" s="627"/>
      <c r="H288" s="118" t="s">
        <v>873</v>
      </c>
      <c r="L288" s="61"/>
      <c r="M288" s="63"/>
      <c r="N288" s="63"/>
      <c r="O288" s="63"/>
      <c r="P288" s="63"/>
      <c r="Q288" s="63"/>
      <c r="R288" s="63"/>
      <c r="S288" s="63"/>
      <c r="T288" s="63"/>
      <c r="U288" s="63"/>
      <c r="V288" s="63"/>
      <c r="W288" s="63">
        <v>0.0</v>
      </c>
      <c r="X288" s="117"/>
      <c r="Y288" s="173"/>
      <c r="Z288" s="63"/>
    </row>
    <row r="289" ht="14.25" customHeight="1">
      <c r="B289" s="626"/>
      <c r="C289" s="627"/>
      <c r="D289" s="627"/>
      <c r="G289" s="118" t="s">
        <v>368</v>
      </c>
      <c r="H289" s="118" t="s">
        <v>1376</v>
      </c>
      <c r="L289" s="61"/>
      <c r="M289" s="63"/>
      <c r="N289" s="63"/>
      <c r="O289" s="63"/>
      <c r="P289" s="63"/>
      <c r="Q289" s="63"/>
      <c r="R289" s="63"/>
      <c r="S289" s="63"/>
      <c r="T289" s="63"/>
      <c r="U289" s="63"/>
      <c r="V289" s="63"/>
      <c r="W289" s="63"/>
      <c r="X289" s="117"/>
      <c r="Y289" s="173"/>
      <c r="Z289" s="63"/>
    </row>
    <row r="290" ht="14.25" customHeight="1">
      <c r="B290" s="626"/>
      <c r="C290" s="627"/>
      <c r="D290" s="627"/>
      <c r="H290" s="118" t="s">
        <v>1377</v>
      </c>
      <c r="L290" s="61"/>
      <c r="M290" s="63"/>
      <c r="N290" s="63"/>
      <c r="O290" s="63"/>
      <c r="P290" s="63"/>
      <c r="Q290" s="63"/>
      <c r="R290" s="63"/>
      <c r="S290" s="63"/>
      <c r="T290" s="63"/>
      <c r="U290" s="63"/>
      <c r="V290" s="63"/>
      <c r="W290" s="63">
        <v>0.0</v>
      </c>
      <c r="X290" s="117"/>
      <c r="Y290" s="173"/>
      <c r="Z290" s="63"/>
    </row>
    <row r="291" ht="14.25" customHeight="1">
      <c r="B291" s="626"/>
      <c r="C291" s="627"/>
      <c r="D291" s="627"/>
      <c r="H291" s="118" t="s">
        <v>868</v>
      </c>
      <c r="L291" s="61"/>
      <c r="M291" s="63"/>
      <c r="N291" s="63"/>
      <c r="O291" s="63"/>
      <c r="P291" s="63"/>
      <c r="Q291" s="63"/>
      <c r="R291" s="63"/>
      <c r="S291" s="63"/>
      <c r="T291" s="63"/>
      <c r="U291" s="63"/>
      <c r="V291" s="63"/>
      <c r="W291" s="63">
        <v>0.0</v>
      </c>
      <c r="X291" s="117"/>
      <c r="Y291" s="173"/>
      <c r="Z291" s="63"/>
    </row>
    <row r="292" ht="14.25" customHeight="1">
      <c r="B292" s="626"/>
      <c r="C292" s="627"/>
      <c r="D292" s="627"/>
      <c r="H292" s="118" t="s">
        <v>869</v>
      </c>
      <c r="L292" s="61"/>
      <c r="M292" s="63"/>
      <c r="N292" s="63"/>
      <c r="O292" s="63"/>
      <c r="P292" s="63"/>
      <c r="Q292" s="63"/>
      <c r="R292" s="63"/>
      <c r="S292" s="63"/>
      <c r="T292" s="63"/>
      <c r="U292" s="63"/>
      <c r="V292" s="63"/>
      <c r="W292" s="63">
        <v>0.0</v>
      </c>
      <c r="X292" s="117"/>
      <c r="Y292" s="173"/>
      <c r="Z292" s="63"/>
    </row>
    <row r="293" ht="14.25" customHeight="1">
      <c r="B293" s="626"/>
      <c r="C293" s="627"/>
      <c r="D293" s="627"/>
      <c r="H293" s="118" t="s">
        <v>870</v>
      </c>
      <c r="L293" s="61"/>
      <c r="M293" s="63"/>
      <c r="N293" s="63"/>
      <c r="O293" s="63"/>
      <c r="P293" s="63"/>
      <c r="Q293" s="63"/>
      <c r="R293" s="63"/>
      <c r="S293" s="63"/>
      <c r="T293" s="63"/>
      <c r="U293" s="63"/>
      <c r="V293" s="63"/>
      <c r="W293" s="63">
        <v>0.0</v>
      </c>
      <c r="X293" s="117"/>
      <c r="Y293" s="173"/>
      <c r="Z293" s="63"/>
    </row>
    <row r="294" ht="14.25" customHeight="1">
      <c r="B294" s="626"/>
      <c r="C294" s="627"/>
      <c r="D294" s="627"/>
      <c r="H294" s="118" t="s">
        <v>871</v>
      </c>
      <c r="L294" s="61"/>
      <c r="M294" s="63"/>
      <c r="N294" s="63"/>
      <c r="O294" s="63"/>
      <c r="P294" s="63"/>
      <c r="Q294" s="63"/>
      <c r="R294" s="63"/>
      <c r="S294" s="63"/>
      <c r="T294" s="63"/>
      <c r="U294" s="63"/>
      <c r="V294" s="63"/>
      <c r="W294" s="63">
        <v>0.0</v>
      </c>
      <c r="X294" s="117"/>
      <c r="Y294" s="173"/>
      <c r="Z294" s="63"/>
    </row>
    <row r="295" ht="14.25" customHeight="1">
      <c r="B295" s="626"/>
      <c r="C295" s="627"/>
      <c r="D295" s="627"/>
      <c r="H295" s="118" t="s">
        <v>872</v>
      </c>
      <c r="L295" s="61"/>
      <c r="M295" s="63"/>
      <c r="N295" s="63"/>
      <c r="O295" s="63"/>
      <c r="P295" s="63"/>
      <c r="Q295" s="63"/>
      <c r="R295" s="63"/>
      <c r="S295" s="63"/>
      <c r="T295" s="63"/>
      <c r="U295" s="63"/>
      <c r="V295" s="63"/>
      <c r="W295" s="63">
        <v>0.0</v>
      </c>
      <c r="X295" s="117"/>
      <c r="Y295" s="173"/>
      <c r="Z295" s="63"/>
    </row>
    <row r="296" ht="14.25" customHeight="1">
      <c r="B296" s="626"/>
      <c r="C296" s="627"/>
      <c r="D296" s="627"/>
      <c r="H296" s="118" t="s">
        <v>873</v>
      </c>
      <c r="L296" s="61"/>
      <c r="M296" s="63"/>
      <c r="N296" s="63"/>
      <c r="O296" s="63"/>
      <c r="P296" s="63"/>
      <c r="Q296" s="63"/>
      <c r="R296" s="63"/>
      <c r="S296" s="63"/>
      <c r="T296" s="63"/>
      <c r="U296" s="63"/>
      <c r="V296" s="63"/>
      <c r="W296" s="63">
        <v>0.0</v>
      </c>
      <c r="X296" s="117"/>
      <c r="Y296" s="173"/>
      <c r="Z296" s="63"/>
    </row>
    <row r="297" ht="14.25" customHeight="1">
      <c r="B297" s="626"/>
      <c r="C297" s="627"/>
      <c r="D297" s="627"/>
      <c r="F297" s="118" t="s">
        <v>862</v>
      </c>
      <c r="G297" s="118" t="s">
        <v>1378</v>
      </c>
      <c r="L297" s="61"/>
      <c r="M297" s="63"/>
      <c r="N297" s="63"/>
      <c r="O297" s="63"/>
      <c r="P297" s="63"/>
      <c r="Q297" s="63"/>
      <c r="R297" s="63"/>
      <c r="S297" s="63"/>
      <c r="T297" s="63"/>
      <c r="U297" s="63"/>
      <c r="V297" s="63"/>
      <c r="W297" s="63"/>
      <c r="X297" s="117"/>
      <c r="Y297" s="173"/>
      <c r="Z297" s="63"/>
    </row>
    <row r="298" ht="14.25" customHeight="1">
      <c r="B298" s="626"/>
      <c r="C298" s="627"/>
      <c r="D298" s="627"/>
      <c r="G298" s="118" t="s">
        <v>1379</v>
      </c>
      <c r="L298" s="61"/>
      <c r="M298" s="63"/>
      <c r="N298" s="63"/>
      <c r="O298" s="63"/>
      <c r="P298" s="63"/>
      <c r="Q298" s="63"/>
      <c r="R298" s="63"/>
      <c r="S298" s="63"/>
      <c r="T298" s="63"/>
      <c r="U298" s="63"/>
      <c r="V298" s="63"/>
      <c r="W298" s="63">
        <v>32.0</v>
      </c>
      <c r="X298" s="117"/>
      <c r="Y298" s="173"/>
      <c r="Z298" s="63"/>
    </row>
    <row r="299" ht="14.25" customHeight="1">
      <c r="B299" s="626"/>
      <c r="C299" s="627"/>
      <c r="D299" s="627"/>
      <c r="E299" s="77"/>
      <c r="G299" s="118" t="s">
        <v>868</v>
      </c>
      <c r="L299" s="61"/>
      <c r="M299" s="63"/>
      <c r="N299" s="63"/>
      <c r="O299" s="63"/>
      <c r="P299" s="63"/>
      <c r="Q299" s="63"/>
      <c r="R299" s="63"/>
      <c r="S299" s="63"/>
      <c r="T299" s="63"/>
      <c r="U299" s="63"/>
      <c r="V299" s="63"/>
      <c r="W299" s="63">
        <v>0.0</v>
      </c>
      <c r="X299" s="117"/>
      <c r="Y299" s="173"/>
      <c r="Z299" s="63"/>
    </row>
    <row r="300" ht="14.25" customHeight="1">
      <c r="B300" s="626"/>
      <c r="C300" s="627"/>
      <c r="D300" s="627"/>
      <c r="E300" s="77"/>
      <c r="G300" s="118" t="s">
        <v>869</v>
      </c>
      <c r="L300" s="61"/>
      <c r="M300" s="63"/>
      <c r="N300" s="63"/>
      <c r="O300" s="63"/>
      <c r="P300" s="63"/>
      <c r="Q300" s="63"/>
      <c r="R300" s="63"/>
      <c r="S300" s="63"/>
      <c r="T300" s="63"/>
      <c r="U300" s="63"/>
      <c r="V300" s="63"/>
      <c r="W300" s="63">
        <v>3.0</v>
      </c>
      <c r="X300" s="117"/>
      <c r="Y300" s="173"/>
      <c r="Z300" s="63"/>
    </row>
    <row r="301" ht="14.25" customHeight="1">
      <c r="B301" s="626"/>
      <c r="C301" s="627"/>
      <c r="D301" s="627"/>
      <c r="E301" s="233"/>
      <c r="G301" s="118" t="s">
        <v>870</v>
      </c>
      <c r="L301" s="61"/>
      <c r="M301" s="63"/>
      <c r="N301" s="63"/>
      <c r="O301" s="63"/>
      <c r="P301" s="63"/>
      <c r="Q301" s="63"/>
      <c r="R301" s="63"/>
      <c r="S301" s="63"/>
      <c r="T301" s="63"/>
      <c r="U301" s="63"/>
      <c r="V301" s="63"/>
      <c r="W301" s="63">
        <v>10.0</v>
      </c>
      <c r="X301" s="117"/>
      <c r="Y301" s="173"/>
      <c r="Z301" s="63"/>
    </row>
    <row r="302" ht="14.25" customHeight="1">
      <c r="B302" s="626"/>
      <c r="C302" s="627"/>
      <c r="D302" s="627"/>
      <c r="E302" s="77"/>
      <c r="G302" s="118" t="s">
        <v>871</v>
      </c>
      <c r="L302" s="61"/>
      <c r="M302" s="63"/>
      <c r="N302" s="63"/>
      <c r="O302" s="63"/>
      <c r="P302" s="63"/>
      <c r="Q302" s="63"/>
      <c r="R302" s="63"/>
      <c r="S302" s="63"/>
      <c r="T302" s="63"/>
      <c r="U302" s="63"/>
      <c r="V302" s="63"/>
      <c r="W302" s="63">
        <v>8.0</v>
      </c>
      <c r="X302" s="117"/>
      <c r="Y302" s="173"/>
      <c r="Z302" s="63"/>
    </row>
    <row r="303" ht="14.25" customHeight="1">
      <c r="B303" s="626"/>
      <c r="C303" s="627"/>
      <c r="D303" s="627"/>
      <c r="E303" s="233"/>
      <c r="G303" s="118" t="s">
        <v>872</v>
      </c>
      <c r="L303" s="61"/>
      <c r="M303" s="63"/>
      <c r="N303" s="63"/>
      <c r="O303" s="63"/>
      <c r="P303" s="63"/>
      <c r="Q303" s="63"/>
      <c r="R303" s="63"/>
      <c r="S303" s="63"/>
      <c r="T303" s="63"/>
      <c r="U303" s="63"/>
      <c r="V303" s="63"/>
      <c r="W303" s="63">
        <v>11.0</v>
      </c>
      <c r="X303" s="117"/>
      <c r="Y303" s="173"/>
      <c r="Z303" s="63"/>
    </row>
    <row r="304" ht="14.25" customHeight="1">
      <c r="B304" s="626"/>
      <c r="C304" s="627"/>
      <c r="D304" s="627"/>
      <c r="G304" s="118" t="s">
        <v>873</v>
      </c>
      <c r="L304" s="61"/>
      <c r="M304" s="63"/>
      <c r="N304" s="63"/>
      <c r="O304" s="63"/>
      <c r="P304" s="63"/>
      <c r="Q304" s="63"/>
      <c r="R304" s="63"/>
      <c r="S304" s="63"/>
      <c r="T304" s="63"/>
      <c r="U304" s="63"/>
      <c r="V304" s="63"/>
      <c r="W304" s="63">
        <v>0.0</v>
      </c>
      <c r="X304" s="117"/>
      <c r="Y304" s="173"/>
      <c r="Z304" s="63"/>
    </row>
    <row r="305" ht="14.25" customHeight="1">
      <c r="B305" s="626"/>
      <c r="C305" s="627"/>
      <c r="D305" s="627"/>
      <c r="F305" s="118" t="s">
        <v>914</v>
      </c>
      <c r="G305" s="118" t="s">
        <v>1380</v>
      </c>
      <c r="L305" s="61"/>
      <c r="M305" s="63"/>
      <c r="N305" s="63"/>
      <c r="O305" s="63"/>
      <c r="P305" s="63"/>
      <c r="Q305" s="63"/>
      <c r="R305" s="63"/>
      <c r="S305" s="63"/>
      <c r="T305" s="63"/>
      <c r="U305" s="63"/>
      <c r="V305" s="63"/>
      <c r="W305" s="63"/>
      <c r="X305" s="117"/>
      <c r="Y305" s="89"/>
      <c r="Z305" s="63"/>
    </row>
    <row r="306" ht="14.25" customHeight="1">
      <c r="B306" s="626"/>
      <c r="C306" s="627"/>
      <c r="D306" s="627"/>
      <c r="G306" s="118" t="s">
        <v>1381</v>
      </c>
      <c r="L306" s="61"/>
      <c r="M306" s="63"/>
      <c r="N306" s="63"/>
      <c r="O306" s="63"/>
      <c r="P306" s="63"/>
      <c r="Q306" s="63"/>
      <c r="R306" s="63"/>
      <c r="S306" s="63"/>
      <c r="T306" s="63"/>
      <c r="U306" s="63"/>
      <c r="V306" s="63"/>
      <c r="W306" s="63">
        <v>0.0</v>
      </c>
      <c r="X306" s="117"/>
      <c r="Y306" s="89"/>
      <c r="Z306" s="63"/>
    </row>
    <row r="307" ht="14.25" customHeight="1">
      <c r="B307" s="626"/>
      <c r="C307" s="627"/>
      <c r="D307" s="627"/>
      <c r="G307" s="118" t="s">
        <v>368</v>
      </c>
      <c r="H307" s="118" t="s">
        <v>889</v>
      </c>
      <c r="L307" s="61"/>
      <c r="M307" s="63"/>
      <c r="N307" s="63"/>
      <c r="O307" s="63"/>
      <c r="P307" s="63"/>
      <c r="Q307" s="63"/>
      <c r="R307" s="63"/>
      <c r="S307" s="63"/>
      <c r="T307" s="63"/>
      <c r="U307" s="63"/>
      <c r="V307" s="63"/>
      <c r="W307" s="63">
        <v>0.0</v>
      </c>
      <c r="X307" s="117"/>
      <c r="Y307" s="89"/>
      <c r="Z307" s="63"/>
    </row>
    <row r="308" ht="14.25" customHeight="1">
      <c r="B308" s="626"/>
      <c r="C308" s="627"/>
      <c r="D308" s="627"/>
      <c r="H308" s="118" t="s">
        <v>868</v>
      </c>
      <c r="L308" s="61"/>
      <c r="M308" s="63"/>
      <c r="N308" s="63"/>
      <c r="O308" s="63"/>
      <c r="P308" s="63"/>
      <c r="Q308" s="63"/>
      <c r="R308" s="63"/>
      <c r="S308" s="63"/>
      <c r="T308" s="63"/>
      <c r="U308" s="63"/>
      <c r="V308" s="63"/>
      <c r="W308" s="63">
        <v>0.0</v>
      </c>
      <c r="X308" s="117"/>
      <c r="Y308" s="89"/>
      <c r="Z308" s="63"/>
    </row>
    <row r="309" ht="14.25" customHeight="1">
      <c r="B309" s="626"/>
      <c r="C309" s="627"/>
      <c r="D309" s="627"/>
      <c r="H309" s="118" t="s">
        <v>869</v>
      </c>
      <c r="L309" s="61"/>
      <c r="M309" s="63"/>
      <c r="N309" s="63"/>
      <c r="O309" s="63"/>
      <c r="P309" s="63"/>
      <c r="Q309" s="63"/>
      <c r="R309" s="63"/>
      <c r="S309" s="63"/>
      <c r="T309" s="63"/>
      <c r="U309" s="63"/>
      <c r="V309" s="63"/>
      <c r="W309" s="63">
        <v>0.0</v>
      </c>
      <c r="X309" s="117"/>
      <c r="Y309" s="89"/>
      <c r="Z309" s="63"/>
    </row>
    <row r="310" ht="14.25" customHeight="1">
      <c r="B310" s="626"/>
      <c r="C310" s="627"/>
      <c r="D310" s="627"/>
      <c r="H310" s="118" t="s">
        <v>870</v>
      </c>
      <c r="L310" s="61"/>
      <c r="M310" s="63"/>
      <c r="N310" s="63"/>
      <c r="O310" s="63"/>
      <c r="P310" s="63"/>
      <c r="Q310" s="63"/>
      <c r="R310" s="63"/>
      <c r="S310" s="63"/>
      <c r="T310" s="63"/>
      <c r="U310" s="63"/>
      <c r="V310" s="63"/>
      <c r="W310" s="63">
        <v>0.0</v>
      </c>
      <c r="X310" s="117"/>
      <c r="Y310" s="89"/>
      <c r="Z310" s="63"/>
    </row>
    <row r="311" ht="14.25" customHeight="1">
      <c r="B311" s="626"/>
      <c r="C311" s="627"/>
      <c r="D311" s="627"/>
      <c r="H311" s="118" t="s">
        <v>871</v>
      </c>
      <c r="L311" s="61"/>
      <c r="M311" s="63"/>
      <c r="N311" s="63"/>
      <c r="O311" s="63"/>
      <c r="P311" s="63"/>
      <c r="Q311" s="63"/>
      <c r="R311" s="63"/>
      <c r="S311" s="63"/>
      <c r="T311" s="63"/>
      <c r="U311" s="63"/>
      <c r="V311" s="63"/>
      <c r="W311" s="63">
        <v>0.0</v>
      </c>
      <c r="X311" s="117"/>
      <c r="Y311" s="89"/>
      <c r="Z311" s="63"/>
    </row>
    <row r="312" ht="14.25" customHeight="1">
      <c r="B312" s="626"/>
      <c r="C312" s="627"/>
      <c r="D312" s="627"/>
      <c r="H312" s="118" t="s">
        <v>872</v>
      </c>
      <c r="L312" s="61"/>
      <c r="M312" s="63"/>
      <c r="N312" s="63"/>
      <c r="O312" s="63"/>
      <c r="P312" s="63"/>
      <c r="Q312" s="63"/>
      <c r="R312" s="63"/>
      <c r="S312" s="63"/>
      <c r="T312" s="63"/>
      <c r="U312" s="63"/>
      <c r="V312" s="63"/>
      <c r="W312" s="63">
        <v>0.0</v>
      </c>
      <c r="X312" s="117"/>
      <c r="Y312" s="173"/>
      <c r="Z312" s="63"/>
    </row>
    <row r="313" ht="14.25" customHeight="1">
      <c r="B313" s="626"/>
      <c r="C313" s="627"/>
      <c r="D313" s="627"/>
      <c r="H313" s="118" t="s">
        <v>873</v>
      </c>
      <c r="L313" s="61"/>
      <c r="M313" s="63"/>
      <c r="N313" s="63"/>
      <c r="O313" s="63"/>
      <c r="P313" s="63"/>
      <c r="Q313" s="63"/>
      <c r="R313" s="63"/>
      <c r="S313" s="63"/>
      <c r="T313" s="63"/>
      <c r="U313" s="63"/>
      <c r="V313" s="63"/>
      <c r="W313" s="63">
        <v>0.0</v>
      </c>
      <c r="X313" s="117"/>
      <c r="Y313" s="173"/>
      <c r="Z313" s="63"/>
    </row>
    <row r="314" ht="14.25" customHeight="1">
      <c r="B314" s="626"/>
      <c r="C314" s="627"/>
      <c r="D314" s="627"/>
      <c r="G314" s="118" t="s">
        <v>368</v>
      </c>
      <c r="H314" s="118" t="s">
        <v>890</v>
      </c>
      <c r="L314" s="61"/>
      <c r="M314" s="63"/>
      <c r="N314" s="63"/>
      <c r="O314" s="63"/>
      <c r="P314" s="63"/>
      <c r="Q314" s="63"/>
      <c r="R314" s="63"/>
      <c r="S314" s="63"/>
      <c r="T314" s="63"/>
      <c r="U314" s="63"/>
      <c r="V314" s="63"/>
      <c r="W314" s="63">
        <v>0.0</v>
      </c>
      <c r="X314" s="117"/>
      <c r="Y314" s="173"/>
      <c r="Z314" s="63"/>
    </row>
    <row r="315" ht="14.25" customHeight="1">
      <c r="B315" s="626"/>
      <c r="C315" s="627"/>
      <c r="D315" s="627"/>
      <c r="H315" s="118" t="s">
        <v>1382</v>
      </c>
      <c r="L315" s="61"/>
      <c r="M315" s="63"/>
      <c r="N315" s="63"/>
      <c r="O315" s="63"/>
      <c r="P315" s="63"/>
      <c r="Q315" s="63"/>
      <c r="R315" s="63"/>
      <c r="S315" s="63"/>
      <c r="T315" s="63"/>
      <c r="U315" s="63"/>
      <c r="V315" s="63"/>
      <c r="W315" s="63">
        <v>0.0</v>
      </c>
      <c r="X315" s="117"/>
      <c r="Y315" s="173"/>
      <c r="Z315" s="63"/>
    </row>
    <row r="316" ht="14.25" customHeight="1">
      <c r="B316" s="626"/>
      <c r="C316" s="627"/>
      <c r="D316" s="627"/>
      <c r="H316" s="118" t="s">
        <v>870</v>
      </c>
      <c r="L316" s="61"/>
      <c r="M316" s="63"/>
      <c r="N316" s="63"/>
      <c r="O316" s="63"/>
      <c r="P316" s="63"/>
      <c r="Q316" s="63"/>
      <c r="R316" s="63"/>
      <c r="S316" s="63"/>
      <c r="T316" s="63"/>
      <c r="U316" s="63"/>
      <c r="V316" s="63"/>
      <c r="W316" s="63">
        <v>0.0</v>
      </c>
      <c r="X316" s="117"/>
      <c r="Y316" s="173"/>
      <c r="Z316" s="63"/>
    </row>
    <row r="317" ht="14.25" customHeight="1">
      <c r="B317" s="626"/>
      <c r="C317" s="627"/>
      <c r="D317" s="627"/>
      <c r="H317" s="118" t="s">
        <v>871</v>
      </c>
      <c r="L317" s="61"/>
      <c r="M317" s="63"/>
      <c r="N317" s="63"/>
      <c r="O317" s="63"/>
      <c r="P317" s="63"/>
      <c r="Q317" s="63"/>
      <c r="R317" s="63"/>
      <c r="S317" s="63"/>
      <c r="T317" s="63"/>
      <c r="U317" s="63"/>
      <c r="V317" s="63"/>
      <c r="W317" s="63">
        <v>0.0</v>
      </c>
      <c r="X317" s="117"/>
      <c r="Y317" s="173"/>
      <c r="Z317" s="63"/>
    </row>
    <row r="318" ht="14.25" customHeight="1">
      <c r="B318" s="626"/>
      <c r="C318" s="627"/>
      <c r="D318" s="627"/>
      <c r="H318" s="118" t="s">
        <v>872</v>
      </c>
      <c r="L318" s="61"/>
      <c r="M318" s="63"/>
      <c r="N318" s="63"/>
      <c r="O318" s="63"/>
      <c r="P318" s="63"/>
      <c r="Q318" s="63"/>
      <c r="R318" s="63"/>
      <c r="S318" s="63"/>
      <c r="T318" s="63"/>
      <c r="U318" s="63"/>
      <c r="V318" s="63"/>
      <c r="W318" s="63">
        <v>0.0</v>
      </c>
      <c r="X318" s="117"/>
      <c r="Y318" s="173"/>
      <c r="Z318" s="63"/>
    </row>
    <row r="319" ht="14.25" customHeight="1">
      <c r="B319" s="626"/>
      <c r="C319" s="627"/>
      <c r="D319" s="627"/>
      <c r="H319" s="118" t="s">
        <v>873</v>
      </c>
      <c r="L319" s="61"/>
      <c r="M319" s="63"/>
      <c r="N319" s="63"/>
      <c r="O319" s="63"/>
      <c r="P319" s="63"/>
      <c r="Q319" s="63"/>
      <c r="R319" s="63"/>
      <c r="S319" s="63"/>
      <c r="T319" s="63"/>
      <c r="U319" s="63"/>
      <c r="V319" s="63"/>
      <c r="W319" s="63">
        <v>0.0</v>
      </c>
      <c r="X319" s="117"/>
      <c r="Y319" s="173"/>
      <c r="Z319" s="63"/>
    </row>
    <row r="320" ht="14.25" customHeight="1">
      <c r="B320" s="626"/>
      <c r="C320" s="627"/>
      <c r="D320" s="627"/>
      <c r="F320" s="118" t="s">
        <v>916</v>
      </c>
      <c r="G320" s="118" t="s">
        <v>1383</v>
      </c>
      <c r="L320" s="61"/>
      <c r="M320" s="63"/>
      <c r="N320" s="63"/>
      <c r="O320" s="63"/>
      <c r="P320" s="63"/>
      <c r="Q320" s="63"/>
      <c r="R320" s="63"/>
      <c r="S320" s="63"/>
      <c r="T320" s="63"/>
      <c r="U320" s="63"/>
      <c r="V320" s="63"/>
      <c r="W320" s="63">
        <v>1.0</v>
      </c>
      <c r="X320" s="117"/>
      <c r="Y320" s="173"/>
      <c r="Z320" s="63"/>
    </row>
    <row r="321" ht="14.25" customHeight="1">
      <c r="B321" s="626"/>
      <c r="C321" s="627"/>
      <c r="D321" s="627"/>
      <c r="G321" s="118" t="s">
        <v>870</v>
      </c>
      <c r="L321" s="61"/>
      <c r="M321" s="63"/>
      <c r="N321" s="63"/>
      <c r="O321" s="63"/>
      <c r="P321" s="63"/>
      <c r="Q321" s="63"/>
      <c r="R321" s="63"/>
      <c r="S321" s="63"/>
      <c r="T321" s="63"/>
      <c r="U321" s="63"/>
      <c r="V321" s="63"/>
      <c r="W321" s="63">
        <v>0.0</v>
      </c>
      <c r="X321" s="117"/>
      <c r="Y321" s="173"/>
      <c r="Z321" s="63"/>
    </row>
    <row r="322" ht="14.25" customHeight="1">
      <c r="B322" s="626"/>
      <c r="C322" s="627"/>
      <c r="D322" s="627"/>
      <c r="G322" s="118" t="s">
        <v>871</v>
      </c>
      <c r="L322" s="61"/>
      <c r="M322" s="63"/>
      <c r="N322" s="63"/>
      <c r="O322" s="63"/>
      <c r="P322" s="63"/>
      <c r="Q322" s="63"/>
      <c r="R322" s="63"/>
      <c r="S322" s="63"/>
      <c r="T322" s="63"/>
      <c r="U322" s="63"/>
      <c r="V322" s="63"/>
      <c r="W322" s="63">
        <v>1.0</v>
      </c>
      <c r="X322" s="117"/>
      <c r="Y322" s="173"/>
      <c r="Z322" s="63"/>
    </row>
    <row r="323" ht="14.25" customHeight="1">
      <c r="B323" s="626"/>
      <c r="C323" s="627"/>
      <c r="D323" s="627"/>
      <c r="G323" s="118" t="s">
        <v>872</v>
      </c>
      <c r="L323" s="61"/>
      <c r="M323" s="63"/>
      <c r="N323" s="63"/>
      <c r="O323" s="63"/>
      <c r="P323" s="63"/>
      <c r="Q323" s="63"/>
      <c r="R323" s="63"/>
      <c r="S323" s="63"/>
      <c r="T323" s="63"/>
      <c r="U323" s="63"/>
      <c r="V323" s="63"/>
      <c r="W323" s="63">
        <v>0.0</v>
      </c>
      <c r="X323" s="117"/>
      <c r="Y323" s="173"/>
      <c r="Z323" s="63"/>
    </row>
    <row r="324" ht="14.25" customHeight="1">
      <c r="B324" s="626"/>
      <c r="C324" s="627"/>
      <c r="D324" s="627"/>
      <c r="G324" s="118" t="s">
        <v>873</v>
      </c>
      <c r="L324" s="61"/>
      <c r="M324" s="63"/>
      <c r="N324" s="63"/>
      <c r="O324" s="63"/>
      <c r="P324" s="63"/>
      <c r="Q324" s="63"/>
      <c r="R324" s="63"/>
      <c r="S324" s="63"/>
      <c r="T324" s="63"/>
      <c r="U324" s="63"/>
      <c r="V324" s="63"/>
      <c r="W324" s="63">
        <v>0.0</v>
      </c>
      <c r="X324" s="117"/>
      <c r="Y324" s="173"/>
      <c r="Z324" s="63"/>
    </row>
    <row r="325" ht="14.25" customHeight="1">
      <c r="B325" s="626"/>
      <c r="C325" s="627"/>
      <c r="D325" s="627"/>
      <c r="F325" s="118" t="s">
        <v>960</v>
      </c>
      <c r="G325" s="118" t="s">
        <v>1384</v>
      </c>
      <c r="L325" s="61"/>
      <c r="M325" s="63"/>
      <c r="N325" s="63"/>
      <c r="O325" s="63"/>
      <c r="P325" s="63"/>
      <c r="Q325" s="63"/>
      <c r="R325" s="63"/>
      <c r="S325" s="63"/>
      <c r="T325" s="63"/>
      <c r="U325" s="63"/>
      <c r="V325" s="63"/>
      <c r="W325" s="63">
        <v>48.0</v>
      </c>
      <c r="X325" s="117"/>
      <c r="Y325" s="173"/>
      <c r="Z325" s="63"/>
    </row>
    <row r="326" ht="14.25" customHeight="1">
      <c r="B326" s="626"/>
      <c r="C326" s="627"/>
      <c r="D326" s="627"/>
      <c r="G326" s="118" t="s">
        <v>868</v>
      </c>
      <c r="L326" s="61"/>
      <c r="M326" s="63"/>
      <c r="N326" s="63"/>
      <c r="O326" s="63"/>
      <c r="P326" s="63"/>
      <c r="Q326" s="63"/>
      <c r="R326" s="63"/>
      <c r="S326" s="63"/>
      <c r="T326" s="63"/>
      <c r="U326" s="63"/>
      <c r="V326" s="63"/>
      <c r="W326" s="63">
        <v>0.0</v>
      </c>
      <c r="X326" s="117"/>
      <c r="Y326" s="173"/>
      <c r="Z326" s="63"/>
    </row>
    <row r="327" ht="14.25" customHeight="1">
      <c r="B327" s="626"/>
      <c r="C327" s="627"/>
      <c r="D327" s="627"/>
      <c r="G327" s="118" t="s">
        <v>869</v>
      </c>
      <c r="L327" s="61"/>
      <c r="M327" s="63"/>
      <c r="N327" s="63"/>
      <c r="O327" s="63"/>
      <c r="P327" s="63"/>
      <c r="Q327" s="63"/>
      <c r="R327" s="63"/>
      <c r="S327" s="63"/>
      <c r="T327" s="63"/>
      <c r="U327" s="63"/>
      <c r="V327" s="63"/>
      <c r="W327" s="63">
        <v>0.0</v>
      </c>
      <c r="X327" s="117"/>
      <c r="Y327" s="173"/>
      <c r="Z327" s="63"/>
    </row>
    <row r="328" ht="14.25" customHeight="1">
      <c r="B328" s="626"/>
      <c r="C328" s="627"/>
      <c r="D328" s="627"/>
      <c r="G328" s="118" t="s">
        <v>870</v>
      </c>
      <c r="L328" s="61"/>
      <c r="M328" s="63"/>
      <c r="N328" s="63"/>
      <c r="O328" s="63"/>
      <c r="P328" s="63"/>
      <c r="Q328" s="63"/>
      <c r="R328" s="63"/>
      <c r="S328" s="63"/>
      <c r="T328" s="63"/>
      <c r="U328" s="63"/>
      <c r="V328" s="63"/>
      <c r="W328" s="63">
        <v>0.0</v>
      </c>
      <c r="X328" s="117"/>
      <c r="Y328" s="173"/>
      <c r="Z328" s="63"/>
    </row>
    <row r="329" ht="14.25" customHeight="1">
      <c r="B329" s="626"/>
      <c r="C329" s="627"/>
      <c r="D329" s="627"/>
      <c r="E329" s="77"/>
      <c r="G329" s="118" t="s">
        <v>871</v>
      </c>
      <c r="L329" s="61"/>
      <c r="M329" s="63"/>
      <c r="N329" s="63"/>
      <c r="O329" s="63"/>
      <c r="P329" s="63"/>
      <c r="Q329" s="63"/>
      <c r="R329" s="63"/>
      <c r="S329" s="63"/>
      <c r="T329" s="63"/>
      <c r="U329" s="63"/>
      <c r="V329" s="63"/>
      <c r="W329" s="63">
        <v>10.0</v>
      </c>
      <c r="X329" s="117"/>
      <c r="Y329" s="173"/>
      <c r="Z329" s="63"/>
    </row>
    <row r="330" ht="14.25" customHeight="1">
      <c r="B330" s="626"/>
      <c r="C330" s="627"/>
      <c r="D330" s="627"/>
      <c r="E330" s="77"/>
      <c r="G330" s="118" t="s">
        <v>872</v>
      </c>
      <c r="L330" s="61"/>
      <c r="M330" s="63"/>
      <c r="N330" s="63"/>
      <c r="O330" s="63"/>
      <c r="P330" s="63"/>
      <c r="Q330" s="63"/>
      <c r="R330" s="63"/>
      <c r="S330" s="63"/>
      <c r="T330" s="63"/>
      <c r="U330" s="63"/>
      <c r="V330" s="63"/>
      <c r="W330" s="63">
        <v>16.0</v>
      </c>
      <c r="X330" s="117"/>
      <c r="Y330" s="173"/>
      <c r="Z330" s="63"/>
    </row>
    <row r="331" ht="14.25" customHeight="1">
      <c r="B331" s="626"/>
      <c r="C331" s="627"/>
      <c r="D331" s="627"/>
      <c r="G331" s="118" t="s">
        <v>873</v>
      </c>
      <c r="L331" s="61"/>
      <c r="M331" s="63"/>
      <c r="N331" s="63"/>
      <c r="O331" s="63"/>
      <c r="P331" s="63"/>
      <c r="Q331" s="63"/>
      <c r="R331" s="63"/>
      <c r="S331" s="63"/>
      <c r="T331" s="63"/>
      <c r="U331" s="63"/>
      <c r="V331" s="63"/>
      <c r="W331" s="63">
        <v>22.0</v>
      </c>
      <c r="X331" s="117"/>
      <c r="Y331" s="173"/>
      <c r="Z331" s="63"/>
    </row>
    <row r="332" ht="14.25" customHeight="1">
      <c r="B332" s="626"/>
      <c r="C332" s="627"/>
      <c r="D332" s="627"/>
      <c r="E332" s="77"/>
      <c r="F332" s="118" t="s">
        <v>962</v>
      </c>
      <c r="G332" s="118" t="s">
        <v>1385</v>
      </c>
      <c r="L332" s="61"/>
      <c r="M332" s="63"/>
      <c r="N332" s="63"/>
      <c r="O332" s="63"/>
      <c r="P332" s="63"/>
      <c r="Q332" s="63"/>
      <c r="R332" s="63"/>
      <c r="S332" s="63"/>
      <c r="T332" s="63"/>
      <c r="U332" s="63"/>
      <c r="V332" s="63"/>
      <c r="W332" s="63">
        <v>0.0</v>
      </c>
      <c r="X332" s="117"/>
      <c r="Y332" s="173"/>
      <c r="Z332" s="63"/>
    </row>
    <row r="333" ht="14.25" customHeight="1">
      <c r="B333" s="626"/>
      <c r="C333" s="627"/>
      <c r="D333" s="627"/>
      <c r="G333" s="118" t="s">
        <v>868</v>
      </c>
      <c r="L333" s="61"/>
      <c r="M333" s="63"/>
      <c r="N333" s="63"/>
      <c r="O333" s="63"/>
      <c r="P333" s="63"/>
      <c r="Q333" s="63"/>
      <c r="R333" s="63"/>
      <c r="S333" s="63"/>
      <c r="T333" s="63"/>
      <c r="U333" s="63"/>
      <c r="V333" s="63"/>
      <c r="W333" s="63">
        <v>0.0</v>
      </c>
      <c r="X333" s="117"/>
      <c r="Y333" s="173"/>
      <c r="Z333" s="63"/>
    </row>
    <row r="334" ht="14.25" customHeight="1">
      <c r="B334" s="626"/>
      <c r="C334" s="627"/>
      <c r="D334" s="627"/>
      <c r="E334" s="559"/>
      <c r="G334" s="118" t="s">
        <v>869</v>
      </c>
      <c r="L334" s="61"/>
      <c r="M334" s="63"/>
      <c r="N334" s="63"/>
      <c r="O334" s="63"/>
      <c r="P334" s="63"/>
      <c r="Q334" s="63"/>
      <c r="R334" s="63"/>
      <c r="S334" s="63"/>
      <c r="T334" s="63"/>
      <c r="U334" s="63"/>
      <c r="V334" s="63"/>
      <c r="W334" s="63">
        <v>0.0</v>
      </c>
      <c r="X334" s="117"/>
      <c r="Y334" s="173"/>
      <c r="Z334" s="63"/>
    </row>
    <row r="335" ht="14.25" customHeight="1">
      <c r="B335" s="626"/>
      <c r="C335" s="627"/>
      <c r="D335" s="627"/>
      <c r="E335" s="561"/>
      <c r="G335" s="118" t="s">
        <v>870</v>
      </c>
      <c r="L335" s="61"/>
      <c r="M335" s="63"/>
      <c r="N335" s="63"/>
      <c r="O335" s="63"/>
      <c r="P335" s="63"/>
      <c r="Q335" s="63"/>
      <c r="R335" s="63"/>
      <c r="S335" s="63"/>
      <c r="T335" s="63"/>
      <c r="U335" s="63"/>
      <c r="V335" s="63"/>
      <c r="W335" s="63">
        <v>0.0</v>
      </c>
      <c r="X335" s="117"/>
      <c r="Y335" s="173"/>
      <c r="Z335" s="63"/>
    </row>
    <row r="336" ht="15.0" customHeight="1">
      <c r="B336" s="626"/>
      <c r="C336" s="627"/>
      <c r="D336" s="627"/>
      <c r="E336" s="559"/>
      <c r="F336" s="562"/>
      <c r="G336" s="118" t="s">
        <v>871</v>
      </c>
      <c r="L336" s="61"/>
      <c r="M336" s="63"/>
      <c r="N336" s="63"/>
      <c r="O336" s="63"/>
      <c r="P336" s="63"/>
      <c r="Q336" s="63"/>
      <c r="R336" s="63"/>
      <c r="S336" s="63"/>
      <c r="T336" s="63"/>
      <c r="U336" s="63"/>
      <c r="V336" s="63"/>
      <c r="W336" s="63">
        <v>0.0</v>
      </c>
      <c r="X336" s="117"/>
      <c r="Y336" s="173"/>
      <c r="Z336" s="63"/>
    </row>
    <row r="337" ht="14.25" customHeight="1">
      <c r="B337" s="626"/>
      <c r="C337" s="627"/>
      <c r="D337" s="627"/>
      <c r="E337" s="565"/>
      <c r="G337" s="118" t="s">
        <v>872</v>
      </c>
      <c r="L337" s="61"/>
      <c r="M337" s="63"/>
      <c r="N337" s="63"/>
      <c r="O337" s="63"/>
      <c r="P337" s="63"/>
      <c r="Q337" s="63"/>
      <c r="R337" s="63"/>
      <c r="S337" s="63"/>
      <c r="T337" s="63"/>
      <c r="U337" s="63"/>
      <c r="V337" s="63"/>
      <c r="W337" s="63">
        <v>0.0</v>
      </c>
      <c r="X337" s="117"/>
      <c r="Y337" s="173"/>
      <c r="Z337" s="63"/>
    </row>
    <row r="338" ht="14.25" customHeight="1">
      <c r="B338" s="626"/>
      <c r="C338" s="627"/>
      <c r="D338" s="627"/>
      <c r="E338" s="565"/>
      <c r="G338" s="118" t="s">
        <v>873</v>
      </c>
      <c r="L338" s="61"/>
      <c r="M338" s="63"/>
      <c r="N338" s="63"/>
      <c r="O338" s="63"/>
      <c r="P338" s="63"/>
      <c r="Q338" s="63"/>
      <c r="R338" s="63"/>
      <c r="S338" s="63"/>
      <c r="T338" s="63"/>
      <c r="U338" s="63"/>
      <c r="V338" s="63"/>
      <c r="W338" s="63">
        <v>0.0</v>
      </c>
      <c r="X338" s="117"/>
      <c r="Y338" s="173"/>
      <c r="Z338" s="63"/>
    </row>
    <row r="339" ht="14.25" customHeight="1">
      <c r="B339" s="626"/>
      <c r="C339" s="627"/>
      <c r="D339" s="627"/>
      <c r="E339" s="559"/>
      <c r="F339" s="118" t="s">
        <v>1386</v>
      </c>
      <c r="G339" s="118" t="s">
        <v>1387</v>
      </c>
      <c r="L339" s="61"/>
      <c r="M339" s="63"/>
      <c r="N339" s="63"/>
      <c r="O339" s="63"/>
      <c r="P339" s="63"/>
      <c r="Q339" s="63"/>
      <c r="R339" s="63"/>
      <c r="S339" s="63"/>
      <c r="T339" s="63"/>
      <c r="U339" s="63"/>
      <c r="V339" s="63"/>
      <c r="W339" s="63">
        <v>0.0</v>
      </c>
      <c r="X339" s="117"/>
      <c r="Y339" s="173"/>
      <c r="Z339" s="63"/>
    </row>
    <row r="340" ht="15.0" customHeight="1">
      <c r="B340" s="626"/>
      <c r="C340" s="627"/>
      <c r="D340" s="627"/>
      <c r="E340" s="566"/>
      <c r="F340" s="562"/>
      <c r="G340" s="118" t="s">
        <v>870</v>
      </c>
      <c r="L340" s="61"/>
      <c r="M340" s="63"/>
      <c r="N340" s="241"/>
      <c r="O340" s="241"/>
      <c r="P340" s="241"/>
      <c r="Q340" s="241"/>
      <c r="R340" s="241"/>
      <c r="S340" s="241"/>
      <c r="T340" s="241"/>
      <c r="U340" s="241"/>
      <c r="V340" s="241"/>
      <c r="W340" s="63">
        <v>0.0</v>
      </c>
      <c r="X340" s="117"/>
      <c r="Y340" s="173"/>
      <c r="Z340" s="63"/>
    </row>
    <row r="341" ht="14.25" customHeight="1">
      <c r="B341" s="626"/>
      <c r="C341" s="627"/>
      <c r="D341" s="627"/>
      <c r="E341" s="566"/>
      <c r="G341" s="118" t="s">
        <v>871</v>
      </c>
      <c r="L341" s="61"/>
      <c r="M341" s="63"/>
      <c r="N341" s="241"/>
      <c r="O341" s="241"/>
      <c r="P341" s="241"/>
      <c r="Q341" s="241"/>
      <c r="R341" s="241"/>
      <c r="S341" s="241"/>
      <c r="T341" s="241"/>
      <c r="U341" s="241"/>
      <c r="V341" s="241"/>
      <c r="W341" s="63">
        <v>0.0</v>
      </c>
      <c r="X341" s="117"/>
      <c r="Y341" s="173"/>
      <c r="Z341" s="63"/>
    </row>
    <row r="342" ht="14.25" customHeight="1">
      <c r="B342" s="626"/>
      <c r="C342" s="627"/>
      <c r="D342" s="627"/>
      <c r="E342" s="559"/>
      <c r="G342" s="118" t="s">
        <v>872</v>
      </c>
      <c r="L342" s="61"/>
      <c r="M342" s="63"/>
      <c r="N342" s="241"/>
      <c r="O342" s="241"/>
      <c r="P342" s="241"/>
      <c r="Q342" s="241"/>
      <c r="R342" s="241"/>
      <c r="S342" s="241"/>
      <c r="T342" s="241"/>
      <c r="U342" s="241"/>
      <c r="V342" s="241"/>
      <c r="W342" s="63">
        <v>0.0</v>
      </c>
      <c r="X342" s="117"/>
      <c r="Y342" s="173"/>
      <c r="Z342" s="63"/>
    </row>
    <row r="343" ht="14.25" customHeight="1">
      <c r="B343" s="626"/>
      <c r="C343" s="627"/>
      <c r="D343" s="627"/>
      <c r="E343" s="565"/>
      <c r="G343" s="118" t="s">
        <v>873</v>
      </c>
      <c r="L343" s="61"/>
      <c r="M343" s="63"/>
      <c r="N343" s="241"/>
      <c r="O343" s="241"/>
      <c r="P343" s="241"/>
      <c r="Q343" s="241"/>
      <c r="R343" s="241"/>
      <c r="S343" s="241"/>
      <c r="T343" s="241"/>
      <c r="U343" s="241"/>
      <c r="V343" s="241"/>
      <c r="W343" s="63">
        <v>0.0</v>
      </c>
      <c r="X343" s="117"/>
      <c r="Y343" s="173"/>
      <c r="Z343" s="63"/>
    </row>
    <row r="344" ht="15.0" customHeight="1">
      <c r="B344" s="626"/>
      <c r="C344" s="627"/>
      <c r="D344" s="627"/>
      <c r="E344" s="568"/>
      <c r="F344" s="628" t="s">
        <v>1388</v>
      </c>
      <c r="G344" s="118" t="s">
        <v>1389</v>
      </c>
      <c r="L344" s="61"/>
      <c r="M344" s="63"/>
      <c r="N344" s="63"/>
      <c r="O344" s="63"/>
      <c r="P344" s="63"/>
      <c r="Q344" s="63"/>
      <c r="R344" s="63"/>
      <c r="S344" s="63"/>
      <c r="T344" s="63"/>
      <c r="U344" s="63"/>
      <c r="V344" s="63"/>
      <c r="W344" s="63">
        <v>0.0</v>
      </c>
      <c r="X344" s="117"/>
      <c r="Y344" s="173"/>
      <c r="Z344" s="63"/>
    </row>
    <row r="345" ht="14.25" customHeight="1">
      <c r="B345" s="626"/>
      <c r="C345" s="627"/>
      <c r="D345" s="627"/>
      <c r="E345" s="561"/>
      <c r="G345" s="118" t="s">
        <v>868</v>
      </c>
      <c r="L345" s="61"/>
      <c r="M345" s="63"/>
      <c r="N345" s="63"/>
      <c r="O345" s="63"/>
      <c r="P345" s="63"/>
      <c r="Q345" s="63"/>
      <c r="R345" s="63"/>
      <c r="S345" s="63"/>
      <c r="T345" s="63"/>
      <c r="U345" s="63"/>
      <c r="V345" s="63"/>
      <c r="W345" s="63">
        <v>0.0</v>
      </c>
      <c r="X345" s="117"/>
      <c r="Y345" s="173"/>
      <c r="Z345" s="63"/>
    </row>
    <row r="346" ht="14.25" customHeight="1">
      <c r="B346" s="626"/>
      <c r="C346" s="627"/>
      <c r="D346" s="627"/>
      <c r="E346" s="559"/>
      <c r="G346" s="118" t="s">
        <v>869</v>
      </c>
      <c r="L346" s="61"/>
      <c r="M346" s="63"/>
      <c r="N346" s="63"/>
      <c r="O346" s="63"/>
      <c r="P346" s="63"/>
      <c r="Q346" s="63"/>
      <c r="R346" s="63"/>
      <c r="S346" s="63"/>
      <c r="T346" s="63"/>
      <c r="U346" s="63"/>
      <c r="V346" s="63"/>
      <c r="W346" s="63">
        <v>0.0</v>
      </c>
      <c r="X346" s="117"/>
      <c r="Y346" s="173"/>
      <c r="Z346" s="63"/>
    </row>
    <row r="347" ht="14.25" customHeight="1">
      <c r="B347" s="626"/>
      <c r="C347" s="627"/>
      <c r="D347" s="627"/>
      <c r="E347" s="565"/>
      <c r="G347" s="118" t="s">
        <v>870</v>
      </c>
      <c r="L347" s="61"/>
      <c r="M347" s="63"/>
      <c r="N347" s="63"/>
      <c r="O347" s="63"/>
      <c r="P347" s="63"/>
      <c r="Q347" s="63"/>
      <c r="R347" s="63"/>
      <c r="S347" s="63"/>
      <c r="T347" s="63"/>
      <c r="U347" s="63"/>
      <c r="V347" s="63"/>
      <c r="W347" s="63">
        <v>0.0</v>
      </c>
      <c r="X347" s="117"/>
      <c r="Y347" s="173"/>
      <c r="Z347" s="63"/>
    </row>
    <row r="348" ht="14.25" customHeight="1">
      <c r="B348" s="626"/>
      <c r="C348" s="627"/>
      <c r="D348" s="627"/>
      <c r="E348" s="565"/>
      <c r="G348" s="118" t="s">
        <v>871</v>
      </c>
      <c r="L348" s="61"/>
      <c r="M348" s="63"/>
      <c r="N348" s="63"/>
      <c r="O348" s="63"/>
      <c r="P348" s="63"/>
      <c r="Q348" s="63"/>
      <c r="R348" s="63"/>
      <c r="S348" s="63"/>
      <c r="T348" s="63"/>
      <c r="U348" s="63"/>
      <c r="V348" s="63"/>
      <c r="W348" s="63">
        <v>0.0</v>
      </c>
      <c r="X348" s="117"/>
      <c r="Y348" s="173"/>
      <c r="Z348" s="63"/>
    </row>
    <row r="349" ht="14.25" customHeight="1">
      <c r="B349" s="626"/>
      <c r="C349" s="627"/>
      <c r="D349" s="627"/>
      <c r="E349" s="571"/>
      <c r="G349" s="118" t="s">
        <v>872</v>
      </c>
      <c r="L349" s="61"/>
      <c r="M349" s="63"/>
      <c r="N349" s="403"/>
      <c r="O349" s="403"/>
      <c r="P349" s="403"/>
      <c r="Q349" s="403"/>
      <c r="R349" s="403"/>
      <c r="S349" s="403"/>
      <c r="T349" s="403"/>
      <c r="U349" s="403"/>
      <c r="V349" s="403"/>
      <c r="W349" s="403">
        <v>0.0</v>
      </c>
      <c r="X349" s="117"/>
      <c r="Y349" s="173"/>
      <c r="Z349" s="63"/>
    </row>
    <row r="350" ht="14.25" customHeight="1">
      <c r="B350" s="626"/>
      <c r="C350" s="627"/>
      <c r="D350" s="627"/>
      <c r="E350" s="571"/>
      <c r="G350" s="118" t="s">
        <v>873</v>
      </c>
      <c r="L350" s="61"/>
      <c r="M350" s="63"/>
      <c r="N350" s="63"/>
      <c r="O350" s="63"/>
      <c r="P350" s="63"/>
      <c r="Q350" s="63"/>
      <c r="R350" s="63"/>
      <c r="S350" s="63"/>
      <c r="T350" s="63"/>
      <c r="U350" s="63"/>
      <c r="V350" s="63"/>
      <c r="W350" s="63">
        <v>0.0</v>
      </c>
      <c r="X350" s="117"/>
      <c r="Y350" s="173"/>
      <c r="Z350" s="63"/>
    </row>
    <row r="351" ht="14.25" customHeight="1">
      <c r="B351" s="626"/>
      <c r="C351" s="627"/>
      <c r="D351" s="627"/>
      <c r="E351" s="559"/>
      <c r="F351" s="118" t="s">
        <v>1390</v>
      </c>
      <c r="G351" s="118" t="s">
        <v>1391</v>
      </c>
      <c r="L351" s="61"/>
      <c r="M351" s="63"/>
      <c r="N351" s="63"/>
      <c r="O351" s="63"/>
      <c r="P351" s="63"/>
      <c r="Q351" s="63"/>
      <c r="R351" s="63"/>
      <c r="S351" s="63"/>
      <c r="T351" s="63"/>
      <c r="U351" s="63"/>
      <c r="V351" s="63"/>
      <c r="W351" s="63">
        <v>0.0</v>
      </c>
      <c r="X351" s="117"/>
      <c r="Y351" s="173"/>
      <c r="Z351" s="63"/>
    </row>
    <row r="352" ht="14.25" customHeight="1">
      <c r="B352" s="626"/>
      <c r="C352" s="627"/>
      <c r="D352" s="627"/>
      <c r="E352" s="565"/>
      <c r="G352" s="118" t="s">
        <v>868</v>
      </c>
      <c r="L352" s="61"/>
      <c r="M352" s="63"/>
      <c r="N352" s="241"/>
      <c r="O352" s="241"/>
      <c r="P352" s="241"/>
      <c r="Q352" s="241"/>
      <c r="R352" s="241"/>
      <c r="S352" s="241"/>
      <c r="T352" s="241"/>
      <c r="U352" s="241"/>
      <c r="V352" s="241"/>
      <c r="W352" s="63">
        <v>0.0</v>
      </c>
      <c r="X352" s="117"/>
      <c r="Y352" s="173"/>
      <c r="Z352" s="63"/>
    </row>
    <row r="353" ht="14.25" customHeight="1">
      <c r="B353" s="626"/>
      <c r="C353" s="627"/>
      <c r="D353" s="627"/>
      <c r="E353" s="568"/>
      <c r="G353" s="118" t="s">
        <v>869</v>
      </c>
      <c r="L353" s="61"/>
      <c r="M353" s="63"/>
      <c r="N353" s="63"/>
      <c r="O353" s="63"/>
      <c r="P353" s="63"/>
      <c r="Q353" s="63"/>
      <c r="R353" s="63"/>
      <c r="S353" s="63"/>
      <c r="T353" s="63"/>
      <c r="U353" s="63"/>
      <c r="V353" s="63"/>
      <c r="W353" s="63">
        <v>0.0</v>
      </c>
      <c r="X353" s="117"/>
      <c r="Y353" s="173"/>
      <c r="Z353" s="63"/>
    </row>
    <row r="354" ht="14.25" customHeight="1">
      <c r="B354" s="626"/>
      <c r="C354" s="627"/>
      <c r="D354" s="627"/>
      <c r="E354" s="561"/>
      <c r="G354" s="118" t="s">
        <v>870</v>
      </c>
      <c r="L354" s="61"/>
      <c r="M354" s="63"/>
      <c r="N354" s="63"/>
      <c r="O354" s="63"/>
      <c r="P354" s="63"/>
      <c r="Q354" s="63"/>
      <c r="R354" s="63"/>
      <c r="S354" s="63"/>
      <c r="T354" s="63"/>
      <c r="U354" s="63"/>
      <c r="V354" s="63"/>
      <c r="W354" s="63">
        <v>0.0</v>
      </c>
      <c r="X354" s="117"/>
      <c r="Y354" s="173"/>
      <c r="Z354" s="63"/>
    </row>
    <row r="355" ht="14.25" customHeight="1">
      <c r="B355" s="626"/>
      <c r="C355" s="627"/>
      <c r="D355" s="627"/>
      <c r="E355" s="573"/>
      <c r="G355" s="118" t="s">
        <v>871</v>
      </c>
      <c r="L355" s="61"/>
      <c r="M355" s="63"/>
      <c r="N355" s="63"/>
      <c r="O355" s="63"/>
      <c r="P355" s="63"/>
      <c r="Q355" s="63"/>
      <c r="R355" s="63"/>
      <c r="S355" s="63"/>
      <c r="T355" s="63"/>
      <c r="U355" s="63"/>
      <c r="V355" s="63"/>
      <c r="W355" s="63">
        <v>0.0</v>
      </c>
      <c r="X355" s="117"/>
      <c r="Y355" s="173"/>
      <c r="Z355" s="63"/>
    </row>
    <row r="356" ht="14.25" customHeight="1">
      <c r="B356" s="626"/>
      <c r="C356" s="627"/>
      <c r="D356" s="627"/>
      <c r="E356" s="565"/>
      <c r="G356" s="118" t="s">
        <v>872</v>
      </c>
      <c r="L356" s="61"/>
      <c r="M356" s="63"/>
      <c r="N356" s="63"/>
      <c r="O356" s="63"/>
      <c r="P356" s="63"/>
      <c r="Q356" s="63"/>
      <c r="R356" s="63"/>
      <c r="S356" s="63"/>
      <c r="T356" s="63"/>
      <c r="U356" s="63"/>
      <c r="V356" s="63"/>
      <c r="W356" s="63">
        <v>0.0</v>
      </c>
      <c r="X356" s="117"/>
      <c r="Y356" s="173"/>
      <c r="Z356" s="63"/>
    </row>
    <row r="357" ht="14.25" customHeight="1">
      <c r="B357" s="626"/>
      <c r="C357" s="627"/>
      <c r="D357" s="627"/>
      <c r="E357" s="565"/>
      <c r="G357" s="118" t="s">
        <v>873</v>
      </c>
      <c r="L357" s="61"/>
      <c r="M357" s="63"/>
      <c r="N357" s="63"/>
      <c r="O357" s="63"/>
      <c r="P357" s="63"/>
      <c r="Q357" s="63"/>
      <c r="R357" s="63"/>
      <c r="S357" s="63"/>
      <c r="T357" s="63"/>
      <c r="U357" s="63"/>
      <c r="V357" s="63"/>
      <c r="W357" s="63">
        <v>0.0</v>
      </c>
      <c r="X357" s="117"/>
      <c r="Y357" s="173"/>
      <c r="Z357" s="63"/>
    </row>
    <row r="358" ht="14.25" customHeight="1">
      <c r="B358" s="626"/>
      <c r="C358" s="627"/>
      <c r="D358" s="627"/>
      <c r="E358" s="573"/>
      <c r="G358" s="118" t="s">
        <v>368</v>
      </c>
      <c r="H358" s="118" t="s">
        <v>901</v>
      </c>
      <c r="L358" s="61"/>
      <c r="M358" s="63"/>
      <c r="N358" s="241"/>
      <c r="O358" s="241"/>
      <c r="P358" s="241"/>
      <c r="Q358" s="241"/>
      <c r="R358" s="241"/>
      <c r="S358" s="241"/>
      <c r="T358" s="241"/>
      <c r="U358" s="241"/>
      <c r="V358" s="241"/>
      <c r="W358" s="63">
        <v>0.0</v>
      </c>
      <c r="X358" s="117"/>
      <c r="Y358" s="173"/>
      <c r="Z358" s="63"/>
    </row>
    <row r="359" ht="14.25" customHeight="1">
      <c r="B359" s="626"/>
      <c r="C359" s="627"/>
      <c r="D359" s="627"/>
      <c r="E359" s="583"/>
      <c r="H359" s="118" t="s">
        <v>868</v>
      </c>
      <c r="L359" s="61"/>
      <c r="M359" s="63"/>
      <c r="N359" s="241"/>
      <c r="O359" s="241"/>
      <c r="P359" s="241"/>
      <c r="Q359" s="241"/>
      <c r="R359" s="241"/>
      <c r="S359" s="241"/>
      <c r="T359" s="241"/>
      <c r="U359" s="241"/>
      <c r="V359" s="241"/>
      <c r="W359" s="241">
        <v>0.0</v>
      </c>
      <c r="X359" s="117"/>
      <c r="Y359" s="173"/>
      <c r="Z359" s="63"/>
    </row>
    <row r="360" ht="14.25" customHeight="1">
      <c r="B360" s="626"/>
      <c r="C360" s="627"/>
      <c r="D360" s="627"/>
      <c r="E360" s="565"/>
      <c r="H360" s="118" t="s">
        <v>869</v>
      </c>
      <c r="L360" s="61"/>
      <c r="M360" s="63"/>
      <c r="N360" s="241"/>
      <c r="O360" s="241"/>
      <c r="P360" s="241"/>
      <c r="Q360" s="241"/>
      <c r="R360" s="241"/>
      <c r="S360" s="241"/>
      <c r="T360" s="241"/>
      <c r="U360" s="241"/>
      <c r="V360" s="241"/>
      <c r="W360" s="63">
        <v>0.0</v>
      </c>
      <c r="X360" s="117"/>
      <c r="Y360" s="173"/>
      <c r="Z360" s="63"/>
    </row>
    <row r="361" ht="14.25" customHeight="1">
      <c r="B361" s="626"/>
      <c r="C361" s="627"/>
      <c r="D361" s="627"/>
      <c r="E361" s="573"/>
      <c r="H361" s="118" t="s">
        <v>870</v>
      </c>
      <c r="L361" s="61"/>
      <c r="M361" s="63"/>
      <c r="N361" s="241"/>
      <c r="O361" s="241"/>
      <c r="P361" s="241"/>
      <c r="Q361" s="241"/>
      <c r="R361" s="241"/>
      <c r="S361" s="241"/>
      <c r="T361" s="241"/>
      <c r="U361" s="241"/>
      <c r="V361" s="241"/>
      <c r="W361" s="63">
        <v>0.0</v>
      </c>
      <c r="X361" s="117"/>
      <c r="Y361" s="173"/>
      <c r="Z361" s="63"/>
    </row>
    <row r="362" ht="14.25" customHeight="1">
      <c r="B362" s="626"/>
      <c r="C362" s="627"/>
      <c r="D362" s="627"/>
      <c r="E362" s="565"/>
      <c r="H362" s="118" t="s">
        <v>871</v>
      </c>
      <c r="L362" s="61"/>
      <c r="M362" s="63"/>
      <c r="N362" s="241"/>
      <c r="O362" s="241"/>
      <c r="P362" s="241"/>
      <c r="Q362" s="241"/>
      <c r="R362" s="241"/>
      <c r="S362" s="241"/>
      <c r="T362" s="241"/>
      <c r="U362" s="241"/>
      <c r="V362" s="241"/>
      <c r="W362" s="241">
        <v>0.0</v>
      </c>
      <c r="X362" s="117"/>
      <c r="Y362" s="173"/>
      <c r="Z362" s="63"/>
    </row>
    <row r="363" ht="14.25" customHeight="1">
      <c r="B363" s="626"/>
      <c r="C363" s="627"/>
      <c r="D363" s="627"/>
      <c r="E363" s="565"/>
      <c r="H363" s="118" t="s">
        <v>872</v>
      </c>
      <c r="L363" s="61"/>
      <c r="M363" s="63"/>
      <c r="N363" s="63"/>
      <c r="O363" s="63"/>
      <c r="P363" s="63"/>
      <c r="Q363" s="63"/>
      <c r="R363" s="63"/>
      <c r="S363" s="63"/>
      <c r="T363" s="63"/>
      <c r="U363" s="63"/>
      <c r="V363" s="63"/>
      <c r="W363" s="63">
        <v>0.0</v>
      </c>
      <c r="X363" s="117"/>
      <c r="Y363" s="173"/>
      <c r="Z363" s="63"/>
    </row>
    <row r="364" ht="14.25" customHeight="1">
      <c r="B364" s="626"/>
      <c r="C364" s="627"/>
      <c r="D364" s="627"/>
      <c r="E364" s="561"/>
      <c r="H364" s="118" t="s">
        <v>873</v>
      </c>
      <c r="L364" s="61"/>
      <c r="M364" s="63"/>
      <c r="N364" s="63"/>
      <c r="O364" s="63"/>
      <c r="P364" s="63"/>
      <c r="Q364" s="63"/>
      <c r="R364" s="63"/>
      <c r="S364" s="63"/>
      <c r="T364" s="63"/>
      <c r="U364" s="63"/>
      <c r="V364" s="63"/>
      <c r="W364" s="63">
        <v>0.0</v>
      </c>
      <c r="X364" s="117"/>
      <c r="Y364" s="173"/>
      <c r="Z364" s="63"/>
    </row>
    <row r="365" ht="14.25" customHeight="1">
      <c r="B365" s="626"/>
      <c r="C365" s="627"/>
      <c r="D365" s="627"/>
      <c r="E365" s="573"/>
      <c r="G365" s="118" t="s">
        <v>368</v>
      </c>
      <c r="H365" s="118" t="s">
        <v>902</v>
      </c>
      <c r="L365" s="61"/>
      <c r="M365" s="63"/>
      <c r="N365" s="63"/>
      <c r="O365" s="63"/>
      <c r="P365" s="63"/>
      <c r="Q365" s="63"/>
      <c r="R365" s="63"/>
      <c r="S365" s="63"/>
      <c r="T365" s="63"/>
      <c r="U365" s="63"/>
      <c r="V365" s="63"/>
      <c r="W365" s="63">
        <v>0.0</v>
      </c>
      <c r="X365" s="117"/>
      <c r="Y365" s="173"/>
      <c r="Z365" s="63"/>
    </row>
    <row r="366" ht="14.25" customHeight="1">
      <c r="B366" s="626"/>
      <c r="C366" s="627"/>
      <c r="D366" s="627"/>
      <c r="E366" s="568"/>
      <c r="H366" s="118" t="s">
        <v>868</v>
      </c>
      <c r="L366" s="61"/>
      <c r="M366" s="63"/>
      <c r="N366" s="63"/>
      <c r="O366" s="63"/>
      <c r="P366" s="63"/>
      <c r="Q366" s="63"/>
      <c r="R366" s="63"/>
      <c r="S366" s="63"/>
      <c r="T366" s="63"/>
      <c r="U366" s="63"/>
      <c r="V366" s="63"/>
      <c r="W366" s="63">
        <v>0.0</v>
      </c>
      <c r="X366" s="117"/>
      <c r="Y366" s="173"/>
      <c r="Z366" s="63"/>
    </row>
    <row r="367" ht="14.25" customHeight="1">
      <c r="B367" s="626"/>
      <c r="C367" s="627"/>
      <c r="D367" s="627"/>
      <c r="E367" s="568"/>
      <c r="H367" s="118" t="s">
        <v>869</v>
      </c>
      <c r="L367" s="61"/>
      <c r="M367" s="63"/>
      <c r="N367" s="63"/>
      <c r="O367" s="63"/>
      <c r="P367" s="63"/>
      <c r="Q367" s="63"/>
      <c r="R367" s="63"/>
      <c r="S367" s="63"/>
      <c r="T367" s="63"/>
      <c r="U367" s="63"/>
      <c r="V367" s="63"/>
      <c r="W367" s="63">
        <v>0.0</v>
      </c>
      <c r="X367" s="117"/>
      <c r="Y367" s="173"/>
      <c r="Z367" s="63"/>
    </row>
    <row r="368" ht="14.25" customHeight="1">
      <c r="B368" s="626"/>
      <c r="C368" s="627"/>
      <c r="D368" s="627"/>
      <c r="E368" s="568"/>
      <c r="H368" s="118" t="s">
        <v>870</v>
      </c>
      <c r="L368" s="61"/>
      <c r="M368" s="63"/>
      <c r="N368" s="63"/>
      <c r="O368" s="63"/>
      <c r="P368" s="63"/>
      <c r="Q368" s="63"/>
      <c r="R368" s="63"/>
      <c r="S368" s="63"/>
      <c r="T368" s="63"/>
      <c r="U368" s="63"/>
      <c r="V368" s="63"/>
      <c r="W368" s="63">
        <v>0.0</v>
      </c>
      <c r="X368" s="117"/>
      <c r="Y368" s="173"/>
      <c r="Z368" s="63"/>
    </row>
    <row r="369" ht="14.25" customHeight="1">
      <c r="B369" s="626"/>
      <c r="C369" s="627"/>
      <c r="D369" s="627"/>
      <c r="E369" s="568"/>
      <c r="H369" s="118" t="s">
        <v>871</v>
      </c>
      <c r="L369" s="61"/>
      <c r="M369" s="63"/>
      <c r="N369" s="63"/>
      <c r="O369" s="63"/>
      <c r="P369" s="63"/>
      <c r="Q369" s="63"/>
      <c r="R369" s="63"/>
      <c r="S369" s="63"/>
      <c r="T369" s="63"/>
      <c r="U369" s="63"/>
      <c r="V369" s="63"/>
      <c r="W369" s="63">
        <v>0.0</v>
      </c>
      <c r="X369" s="117"/>
      <c r="Y369" s="173"/>
      <c r="Z369" s="63"/>
    </row>
    <row r="370" ht="14.25" customHeight="1">
      <c r="B370" s="626"/>
      <c r="C370" s="627"/>
      <c r="D370" s="627"/>
      <c r="E370" s="573"/>
      <c r="H370" s="118" t="s">
        <v>872</v>
      </c>
      <c r="L370" s="61"/>
      <c r="M370" s="63"/>
      <c r="N370" s="63"/>
      <c r="O370" s="63"/>
      <c r="P370" s="63"/>
      <c r="Q370" s="63"/>
      <c r="R370" s="63"/>
      <c r="S370" s="63"/>
      <c r="T370" s="63"/>
      <c r="U370" s="63"/>
      <c r="V370" s="63"/>
      <c r="W370" s="63">
        <v>0.0</v>
      </c>
      <c r="X370" s="117"/>
      <c r="Y370" s="173"/>
      <c r="Z370" s="63"/>
    </row>
    <row r="371" ht="14.25" customHeight="1">
      <c r="B371" s="626"/>
      <c r="C371" s="627"/>
      <c r="D371" s="627"/>
      <c r="E371" s="568"/>
      <c r="H371" s="118" t="s">
        <v>873</v>
      </c>
      <c r="L371" s="61"/>
      <c r="M371" s="63"/>
      <c r="N371" s="63"/>
      <c r="O371" s="63"/>
      <c r="P371" s="63"/>
      <c r="Q371" s="63"/>
      <c r="R371" s="63"/>
      <c r="S371" s="63"/>
      <c r="T371" s="63"/>
      <c r="U371" s="63"/>
      <c r="V371" s="63"/>
      <c r="W371" s="63">
        <v>0.0</v>
      </c>
      <c r="X371" s="117"/>
      <c r="Y371" s="173"/>
      <c r="Z371" s="63"/>
    </row>
    <row r="372" ht="14.25" customHeight="1">
      <c r="B372" s="626"/>
      <c r="C372" s="627"/>
      <c r="D372" s="627"/>
      <c r="E372" s="568"/>
      <c r="G372" s="118" t="s">
        <v>368</v>
      </c>
      <c r="H372" s="118" t="s">
        <v>903</v>
      </c>
      <c r="L372" s="61"/>
      <c r="M372" s="63"/>
      <c r="N372" s="63"/>
      <c r="O372" s="63"/>
      <c r="P372" s="63"/>
      <c r="Q372" s="63"/>
      <c r="R372" s="63"/>
      <c r="S372" s="63"/>
      <c r="T372" s="63"/>
      <c r="U372" s="63"/>
      <c r="V372" s="63"/>
      <c r="W372" s="63">
        <v>0.0</v>
      </c>
      <c r="X372" s="117"/>
      <c r="Y372" s="173"/>
      <c r="Z372" s="63"/>
    </row>
    <row r="373" ht="14.25" customHeight="1">
      <c r="B373" s="626"/>
      <c r="C373" s="627"/>
      <c r="D373" s="627"/>
      <c r="E373" s="568"/>
      <c r="H373" s="118" t="s">
        <v>868</v>
      </c>
      <c r="L373" s="61"/>
      <c r="M373" s="63"/>
      <c r="N373" s="63"/>
      <c r="O373" s="63"/>
      <c r="P373" s="63"/>
      <c r="Q373" s="63"/>
      <c r="R373" s="63"/>
      <c r="S373" s="63"/>
      <c r="T373" s="63"/>
      <c r="U373" s="63"/>
      <c r="V373" s="63"/>
      <c r="W373" s="63">
        <v>0.0</v>
      </c>
      <c r="X373" s="117"/>
      <c r="Y373" s="173"/>
      <c r="Z373" s="63"/>
    </row>
    <row r="374" ht="14.25" customHeight="1">
      <c r="B374" s="626"/>
      <c r="C374" s="627"/>
      <c r="D374" s="627"/>
      <c r="E374" s="568"/>
      <c r="H374" s="118" t="s">
        <v>869</v>
      </c>
      <c r="L374" s="61"/>
      <c r="M374" s="63"/>
      <c r="N374" s="63"/>
      <c r="O374" s="63"/>
      <c r="P374" s="63"/>
      <c r="Q374" s="63"/>
      <c r="R374" s="63"/>
      <c r="S374" s="63"/>
      <c r="T374" s="63"/>
      <c r="U374" s="63"/>
      <c r="V374" s="63"/>
      <c r="W374" s="63">
        <v>0.0</v>
      </c>
      <c r="X374" s="117"/>
      <c r="Y374" s="173"/>
      <c r="Z374" s="63"/>
    </row>
    <row r="375" ht="14.25" customHeight="1">
      <c r="B375" s="626"/>
      <c r="C375" s="627"/>
      <c r="D375" s="627"/>
      <c r="E375" s="578"/>
      <c r="H375" s="118" t="s">
        <v>870</v>
      </c>
      <c r="L375" s="61"/>
      <c r="M375" s="63"/>
      <c r="N375" s="63"/>
      <c r="O375" s="63"/>
      <c r="P375" s="63"/>
      <c r="Q375" s="63"/>
      <c r="R375" s="63"/>
      <c r="S375" s="63"/>
      <c r="T375" s="63"/>
      <c r="U375" s="63"/>
      <c r="V375" s="63"/>
      <c r="W375" s="63">
        <v>0.0</v>
      </c>
      <c r="X375" s="117"/>
      <c r="Y375" s="173"/>
      <c r="Z375" s="63"/>
    </row>
    <row r="376" ht="14.25" customHeight="1">
      <c r="B376" s="626"/>
      <c r="C376" s="627"/>
      <c r="D376" s="627"/>
      <c r="E376" s="573"/>
      <c r="H376" s="118" t="s">
        <v>871</v>
      </c>
      <c r="L376" s="61"/>
      <c r="M376" s="63"/>
      <c r="N376" s="63"/>
      <c r="O376" s="63"/>
      <c r="P376" s="63"/>
      <c r="Q376" s="63"/>
      <c r="R376" s="63"/>
      <c r="S376" s="63"/>
      <c r="T376" s="63"/>
      <c r="U376" s="63"/>
      <c r="V376" s="63"/>
      <c r="W376" s="63">
        <v>0.0</v>
      </c>
      <c r="X376" s="117"/>
      <c r="Y376" s="173"/>
      <c r="Z376" s="63"/>
    </row>
    <row r="377" ht="14.25" customHeight="1">
      <c r="B377" s="626"/>
      <c r="C377" s="627"/>
      <c r="D377" s="627"/>
      <c r="E377" s="568"/>
      <c r="H377" s="118" t="s">
        <v>872</v>
      </c>
      <c r="L377" s="61"/>
      <c r="M377" s="63"/>
      <c r="N377" s="63"/>
      <c r="O377" s="63"/>
      <c r="P377" s="63"/>
      <c r="Q377" s="63"/>
      <c r="R377" s="63"/>
      <c r="S377" s="63"/>
      <c r="T377" s="63"/>
      <c r="U377" s="63"/>
      <c r="V377" s="63"/>
      <c r="W377" s="63">
        <v>0.0</v>
      </c>
      <c r="X377" s="117"/>
      <c r="Y377" s="173"/>
      <c r="Z377" s="63"/>
    </row>
    <row r="378" ht="14.25" customHeight="1">
      <c r="B378" s="626"/>
      <c r="C378" s="627"/>
      <c r="D378" s="627"/>
      <c r="E378" s="568"/>
      <c r="H378" s="118" t="s">
        <v>873</v>
      </c>
      <c r="L378" s="61"/>
      <c r="M378" s="63"/>
      <c r="N378" s="63"/>
      <c r="O378" s="63"/>
      <c r="P378" s="63"/>
      <c r="Q378" s="63"/>
      <c r="R378" s="63"/>
      <c r="S378" s="63"/>
      <c r="T378" s="63"/>
      <c r="U378" s="63"/>
      <c r="V378" s="63"/>
      <c r="W378" s="63">
        <v>0.0</v>
      </c>
      <c r="X378" s="117"/>
      <c r="Y378" s="173"/>
      <c r="Z378" s="63"/>
    </row>
    <row r="379" ht="14.25" customHeight="1">
      <c r="B379" s="626"/>
      <c r="C379" s="627"/>
      <c r="D379" s="627"/>
      <c r="E379" s="568"/>
      <c r="G379" s="118" t="s">
        <v>368</v>
      </c>
      <c r="H379" s="118" t="s">
        <v>904</v>
      </c>
      <c r="L379" s="61"/>
      <c r="M379" s="63"/>
      <c r="N379" s="63"/>
      <c r="O379" s="63"/>
      <c r="P379" s="63"/>
      <c r="Q379" s="63"/>
      <c r="R379" s="63"/>
      <c r="S379" s="63"/>
      <c r="T379" s="63"/>
      <c r="U379" s="63"/>
      <c r="V379" s="63"/>
      <c r="W379" s="63">
        <v>0.0</v>
      </c>
      <c r="X379" s="117"/>
      <c r="Y379" s="173"/>
      <c r="Z379" s="63"/>
    </row>
    <row r="380" ht="14.25" customHeight="1">
      <c r="B380" s="626"/>
      <c r="C380" s="627"/>
      <c r="D380" s="627"/>
      <c r="E380" s="568"/>
      <c r="H380" s="118" t="s">
        <v>868</v>
      </c>
      <c r="L380" s="61"/>
      <c r="M380" s="63"/>
      <c r="N380" s="63"/>
      <c r="O380" s="63"/>
      <c r="P380" s="63"/>
      <c r="Q380" s="63"/>
      <c r="R380" s="63"/>
      <c r="S380" s="63"/>
      <c r="T380" s="63"/>
      <c r="U380" s="63"/>
      <c r="V380" s="63"/>
      <c r="W380" s="63">
        <v>0.0</v>
      </c>
      <c r="X380" s="117"/>
      <c r="Y380" s="173"/>
      <c r="Z380" s="63"/>
    </row>
    <row r="381" ht="14.25" customHeight="1">
      <c r="B381" s="626"/>
      <c r="C381" s="627"/>
      <c r="D381" s="627"/>
      <c r="E381" s="561"/>
      <c r="H381" s="118" t="s">
        <v>869</v>
      </c>
      <c r="L381" s="61"/>
      <c r="M381" s="63"/>
      <c r="N381" s="63"/>
      <c r="O381" s="63"/>
      <c r="P381" s="63"/>
      <c r="Q381" s="63"/>
      <c r="R381" s="63"/>
      <c r="S381" s="63"/>
      <c r="T381" s="63"/>
      <c r="U381" s="63"/>
      <c r="V381" s="63"/>
      <c r="W381" s="63">
        <v>0.0</v>
      </c>
      <c r="X381" s="117"/>
      <c r="Y381" s="173"/>
      <c r="Z381" s="63"/>
    </row>
    <row r="382" ht="14.25" customHeight="1">
      <c r="B382" s="626"/>
      <c r="C382" s="627"/>
      <c r="D382" s="627"/>
      <c r="E382" s="573"/>
      <c r="H382" s="118" t="s">
        <v>870</v>
      </c>
      <c r="L382" s="61"/>
      <c r="M382" s="63"/>
      <c r="N382" s="63"/>
      <c r="O382" s="63"/>
      <c r="P382" s="63"/>
      <c r="Q382" s="63"/>
      <c r="R382" s="63"/>
      <c r="S382" s="63"/>
      <c r="T382" s="63"/>
      <c r="U382" s="63"/>
      <c r="V382" s="63"/>
      <c r="W382" s="63">
        <v>0.0</v>
      </c>
      <c r="X382" s="117"/>
      <c r="Y382" s="173"/>
      <c r="Z382" s="63"/>
    </row>
    <row r="383" ht="14.25" customHeight="1">
      <c r="B383" s="626"/>
      <c r="C383" s="627"/>
      <c r="D383" s="627"/>
      <c r="E383" s="565"/>
      <c r="H383" s="118" t="s">
        <v>871</v>
      </c>
      <c r="L383" s="61"/>
      <c r="M383" s="63"/>
      <c r="N383" s="63"/>
      <c r="O383" s="63"/>
      <c r="P383" s="63"/>
      <c r="Q383" s="63"/>
      <c r="R383" s="63"/>
      <c r="S383" s="63"/>
      <c r="T383" s="63"/>
      <c r="U383" s="63"/>
      <c r="V383" s="63"/>
      <c r="W383" s="63">
        <v>0.0</v>
      </c>
      <c r="X383" s="117"/>
      <c r="Y383" s="173"/>
      <c r="Z383" s="63"/>
    </row>
    <row r="384" ht="14.25" customHeight="1">
      <c r="B384" s="626"/>
      <c r="C384" s="627"/>
      <c r="D384" s="627"/>
      <c r="E384" s="565"/>
      <c r="H384" s="118" t="s">
        <v>872</v>
      </c>
      <c r="L384" s="61"/>
      <c r="M384" s="63"/>
      <c r="N384" s="63"/>
      <c r="O384" s="63"/>
      <c r="P384" s="63"/>
      <c r="Q384" s="63"/>
      <c r="R384" s="63"/>
      <c r="S384" s="63"/>
      <c r="T384" s="63"/>
      <c r="U384" s="63"/>
      <c r="V384" s="63"/>
      <c r="W384" s="63">
        <v>0.0</v>
      </c>
      <c r="X384" s="117"/>
      <c r="Y384" s="173"/>
      <c r="Z384" s="63"/>
    </row>
    <row r="385" ht="14.25" customHeight="1">
      <c r="B385" s="626"/>
      <c r="C385" s="627"/>
      <c r="D385" s="627"/>
      <c r="E385" s="573"/>
      <c r="H385" s="118" t="s">
        <v>873</v>
      </c>
      <c r="L385" s="61"/>
      <c r="M385" s="63"/>
      <c r="N385" s="63"/>
      <c r="O385" s="63"/>
      <c r="P385" s="63"/>
      <c r="Q385" s="63"/>
      <c r="R385" s="63"/>
      <c r="S385" s="63"/>
      <c r="T385" s="63"/>
      <c r="U385" s="63"/>
      <c r="V385" s="63"/>
      <c r="W385" s="63">
        <v>0.0</v>
      </c>
      <c r="X385" s="117"/>
      <c r="Y385" s="173"/>
      <c r="Z385" s="63"/>
    </row>
    <row r="386" ht="14.25" customHeight="1">
      <c r="B386" s="626"/>
      <c r="C386" s="627"/>
      <c r="D386" s="627"/>
      <c r="E386" s="565"/>
      <c r="G386" s="118" t="s">
        <v>368</v>
      </c>
      <c r="H386" s="118" t="s">
        <v>905</v>
      </c>
      <c r="L386" s="61"/>
      <c r="M386" s="63"/>
      <c r="N386" s="241"/>
      <c r="O386" s="241"/>
      <c r="P386" s="241"/>
      <c r="Q386" s="241"/>
      <c r="R386" s="241"/>
      <c r="S386" s="241"/>
      <c r="T386" s="241"/>
      <c r="U386" s="241"/>
      <c r="V386" s="241"/>
      <c r="W386" s="63">
        <v>0.0</v>
      </c>
      <c r="X386" s="117"/>
      <c r="Y386" s="173"/>
      <c r="Z386" s="63"/>
    </row>
    <row r="387" ht="14.25" customHeight="1">
      <c r="B387" s="626"/>
      <c r="C387" s="627"/>
      <c r="D387" s="627"/>
      <c r="E387" s="565"/>
      <c r="H387" s="118" t="s">
        <v>868</v>
      </c>
      <c r="L387" s="61"/>
      <c r="M387" s="63"/>
      <c r="N387" s="241"/>
      <c r="O387" s="241"/>
      <c r="P387" s="241"/>
      <c r="Q387" s="241"/>
      <c r="R387" s="241"/>
      <c r="S387" s="241"/>
      <c r="T387" s="241"/>
      <c r="U387" s="241"/>
      <c r="V387" s="241"/>
      <c r="W387" s="63">
        <v>0.0</v>
      </c>
      <c r="X387" s="117"/>
      <c r="Y387" s="173"/>
      <c r="Z387" s="63"/>
    </row>
    <row r="388" ht="14.25" customHeight="1">
      <c r="B388" s="626"/>
      <c r="C388" s="627"/>
      <c r="D388" s="627"/>
      <c r="E388" s="573"/>
      <c r="H388" s="118" t="s">
        <v>869</v>
      </c>
      <c r="L388" s="61"/>
      <c r="M388" s="63"/>
      <c r="N388" s="241"/>
      <c r="O388" s="241"/>
      <c r="P388" s="241"/>
      <c r="Q388" s="241"/>
      <c r="R388" s="241"/>
      <c r="S388" s="241"/>
      <c r="T388" s="241"/>
      <c r="U388" s="241"/>
      <c r="V388" s="241"/>
      <c r="W388" s="63">
        <v>0.0</v>
      </c>
      <c r="X388" s="117"/>
      <c r="Y388" s="173"/>
      <c r="Z388" s="63"/>
    </row>
    <row r="389" ht="14.25" customHeight="1">
      <c r="B389" s="626"/>
      <c r="C389" s="627"/>
      <c r="D389" s="627"/>
      <c r="E389" s="583"/>
      <c r="H389" s="118" t="s">
        <v>870</v>
      </c>
      <c r="L389" s="61"/>
      <c r="M389" s="63"/>
      <c r="N389" s="241"/>
      <c r="O389" s="241"/>
      <c r="P389" s="241"/>
      <c r="Q389" s="241"/>
      <c r="R389" s="241"/>
      <c r="S389" s="241"/>
      <c r="T389" s="241"/>
      <c r="U389" s="241"/>
      <c r="V389" s="241"/>
      <c r="W389" s="63">
        <v>0.0</v>
      </c>
      <c r="X389" s="117"/>
      <c r="Y389" s="173"/>
      <c r="Z389" s="63"/>
    </row>
    <row r="390" ht="14.25" customHeight="1">
      <c r="B390" s="626"/>
      <c r="C390" s="627"/>
      <c r="D390" s="627"/>
      <c r="H390" s="118" t="s">
        <v>871</v>
      </c>
      <c r="L390" s="61"/>
      <c r="M390" s="63"/>
      <c r="N390" s="241"/>
      <c r="O390" s="241"/>
      <c r="P390" s="241"/>
      <c r="Q390" s="241"/>
      <c r="R390" s="241"/>
      <c r="S390" s="241"/>
      <c r="T390" s="241"/>
      <c r="U390" s="241"/>
      <c r="V390" s="241"/>
      <c r="W390" s="63">
        <v>0.0</v>
      </c>
      <c r="X390" s="117"/>
      <c r="Y390" s="173"/>
      <c r="Z390" s="63"/>
    </row>
    <row r="391" ht="14.25" customHeight="1">
      <c r="B391" s="626"/>
      <c r="C391" s="627"/>
      <c r="D391" s="627"/>
      <c r="H391" s="118" t="s">
        <v>872</v>
      </c>
      <c r="L391" s="61"/>
      <c r="M391" s="63"/>
      <c r="N391" s="63"/>
      <c r="O391" s="63"/>
      <c r="P391" s="63"/>
      <c r="Q391" s="63"/>
      <c r="R391" s="63"/>
      <c r="S391" s="63"/>
      <c r="T391" s="63"/>
      <c r="U391" s="63"/>
      <c r="V391" s="63"/>
      <c r="W391" s="63">
        <v>0.0</v>
      </c>
      <c r="X391" s="117"/>
      <c r="Y391" s="173"/>
      <c r="Z391" s="63"/>
    </row>
    <row r="392" ht="14.25" customHeight="1">
      <c r="B392" s="626"/>
      <c r="C392" s="627"/>
      <c r="D392" s="627"/>
      <c r="E392" s="579"/>
      <c r="F392" s="579"/>
      <c r="G392" s="579"/>
      <c r="H392" s="579" t="s">
        <v>873</v>
      </c>
      <c r="I392" s="579"/>
      <c r="J392" s="579"/>
      <c r="K392" s="579"/>
      <c r="L392" s="580"/>
      <c r="M392" s="606"/>
      <c r="N392" s="63"/>
      <c r="O392" s="63"/>
      <c r="P392" s="63"/>
      <c r="Q392" s="63"/>
      <c r="R392" s="63"/>
      <c r="S392" s="63"/>
      <c r="T392" s="63"/>
      <c r="U392" s="63"/>
      <c r="V392" s="63"/>
      <c r="W392" s="63">
        <v>0.0</v>
      </c>
      <c r="X392" s="117"/>
      <c r="Y392" s="173"/>
      <c r="Z392" s="63"/>
    </row>
    <row r="393" ht="14.25" customHeight="1">
      <c r="B393" s="626"/>
      <c r="C393" s="627"/>
      <c r="D393" s="627"/>
      <c r="E393" s="579" t="s">
        <v>403</v>
      </c>
      <c r="F393" s="579" t="s">
        <v>1392</v>
      </c>
      <c r="G393" s="579" t="s">
        <v>1393</v>
      </c>
      <c r="H393" s="579"/>
      <c r="I393" s="579"/>
      <c r="J393" s="579"/>
      <c r="K393" s="579"/>
      <c r="L393" s="580"/>
      <c r="M393" s="606"/>
      <c r="N393" s="63"/>
      <c r="O393" s="63"/>
      <c r="P393" s="63"/>
      <c r="Q393" s="63"/>
      <c r="R393" s="63"/>
      <c r="S393" s="63"/>
      <c r="T393" s="63"/>
      <c r="U393" s="63"/>
      <c r="V393" s="63"/>
      <c r="W393" s="63"/>
      <c r="X393" s="117"/>
      <c r="Y393" s="173"/>
      <c r="Z393" s="63"/>
    </row>
    <row r="394" ht="14.25" customHeight="1">
      <c r="B394" s="626"/>
      <c r="C394" s="627"/>
      <c r="D394" s="627"/>
      <c r="G394" s="118" t="s">
        <v>1394</v>
      </c>
      <c r="L394" s="61"/>
      <c r="M394" s="63"/>
      <c r="N394" s="63"/>
      <c r="O394" s="63"/>
      <c r="P394" s="63"/>
      <c r="Q394" s="63"/>
      <c r="R394" s="63"/>
      <c r="S394" s="63"/>
      <c r="T394" s="63"/>
      <c r="U394" s="63"/>
      <c r="V394" s="63"/>
      <c r="W394" s="63">
        <v>20.0</v>
      </c>
      <c r="X394" s="117"/>
      <c r="Y394" s="173"/>
      <c r="Z394" s="63"/>
    </row>
    <row r="395" ht="14.25" customHeight="1">
      <c r="B395" s="626"/>
      <c r="C395" s="627"/>
      <c r="D395" s="627"/>
      <c r="E395" s="561"/>
      <c r="G395" s="118" t="s">
        <v>1395</v>
      </c>
      <c r="H395" s="118" t="s">
        <v>1396</v>
      </c>
      <c r="L395" s="61"/>
      <c r="M395" s="63"/>
      <c r="N395" s="63"/>
      <c r="O395" s="63"/>
      <c r="P395" s="63"/>
      <c r="Q395" s="63"/>
      <c r="R395" s="63"/>
      <c r="S395" s="63"/>
      <c r="T395" s="63"/>
      <c r="U395" s="63"/>
      <c r="V395" s="63"/>
      <c r="W395" s="63">
        <v>20.0</v>
      </c>
      <c r="X395" s="117"/>
      <c r="Y395" s="173"/>
      <c r="Z395" s="63"/>
    </row>
    <row r="396" ht="14.25" customHeight="1">
      <c r="B396" s="626"/>
      <c r="C396" s="627"/>
      <c r="D396" s="627"/>
      <c r="E396" s="559"/>
      <c r="H396" s="118" t="s">
        <v>870</v>
      </c>
      <c r="L396" s="61"/>
      <c r="M396" s="63"/>
      <c r="N396" s="63"/>
      <c r="O396" s="63"/>
      <c r="P396" s="63"/>
      <c r="Q396" s="63"/>
      <c r="R396" s="63"/>
      <c r="S396" s="63"/>
      <c r="T396" s="63"/>
      <c r="U396" s="63"/>
      <c r="V396" s="63"/>
      <c r="W396" s="63">
        <v>1.0</v>
      </c>
      <c r="X396" s="117"/>
      <c r="Y396" s="173"/>
      <c r="Z396" s="63"/>
    </row>
    <row r="397" ht="14.25" customHeight="1">
      <c r="B397" s="626"/>
      <c r="C397" s="627"/>
      <c r="D397" s="627"/>
      <c r="E397" s="583"/>
      <c r="H397" s="118" t="s">
        <v>1397</v>
      </c>
      <c r="L397" s="61"/>
      <c r="M397" s="63"/>
      <c r="N397" s="63"/>
      <c r="O397" s="63"/>
      <c r="P397" s="63"/>
      <c r="Q397" s="63"/>
      <c r="R397" s="63"/>
      <c r="S397" s="63"/>
      <c r="T397" s="63"/>
      <c r="U397" s="63"/>
      <c r="V397" s="63"/>
      <c r="W397" s="63">
        <v>9.0</v>
      </c>
      <c r="X397" s="117"/>
      <c r="Y397" s="173"/>
      <c r="Z397" s="63"/>
    </row>
    <row r="398" ht="14.25" customHeight="1">
      <c r="B398" s="626"/>
      <c r="C398" s="627"/>
      <c r="D398" s="627"/>
      <c r="E398" s="565"/>
      <c r="H398" s="118" t="s">
        <v>1398</v>
      </c>
      <c r="L398" s="61"/>
      <c r="M398" s="63"/>
      <c r="N398" s="63"/>
      <c r="O398" s="63"/>
      <c r="P398" s="63"/>
      <c r="Q398" s="63"/>
      <c r="R398" s="63"/>
      <c r="S398" s="63"/>
      <c r="T398" s="63"/>
      <c r="U398" s="63"/>
      <c r="V398" s="63"/>
      <c r="W398" s="63">
        <v>9.0</v>
      </c>
      <c r="X398" s="117"/>
      <c r="Y398" s="173"/>
      <c r="Z398" s="63"/>
    </row>
    <row r="399" ht="14.25" customHeight="1">
      <c r="B399" s="626"/>
      <c r="C399" s="627"/>
      <c r="D399" s="627"/>
      <c r="E399" s="559"/>
      <c r="H399" s="118" t="s">
        <v>1399</v>
      </c>
      <c r="L399" s="61"/>
      <c r="M399" s="63"/>
      <c r="N399" s="63"/>
      <c r="O399" s="63"/>
      <c r="P399" s="63"/>
      <c r="Q399" s="63"/>
      <c r="R399" s="63"/>
      <c r="S399" s="63"/>
      <c r="T399" s="63"/>
      <c r="U399" s="63"/>
      <c r="V399" s="63"/>
      <c r="W399" s="63">
        <v>1.0</v>
      </c>
      <c r="X399" s="117"/>
      <c r="Y399" s="173"/>
      <c r="Z399" s="63"/>
    </row>
    <row r="400" ht="14.25" customHeight="1">
      <c r="B400" s="626"/>
      <c r="C400" s="627"/>
      <c r="D400" s="627"/>
      <c r="E400" s="583"/>
      <c r="G400" s="118" t="s">
        <v>1400</v>
      </c>
      <c r="H400" s="118" t="s">
        <v>1401</v>
      </c>
      <c r="L400" s="61"/>
      <c r="M400" s="63"/>
      <c r="N400" s="241"/>
      <c r="O400" s="241"/>
      <c r="P400" s="241"/>
      <c r="Q400" s="241"/>
      <c r="R400" s="241"/>
      <c r="S400" s="241"/>
      <c r="T400" s="241"/>
      <c r="U400" s="241"/>
      <c r="V400" s="241"/>
      <c r="W400" s="63">
        <v>19.0</v>
      </c>
      <c r="X400" s="117"/>
      <c r="Y400" s="173"/>
      <c r="Z400" s="63"/>
    </row>
    <row r="401" ht="14.25" customHeight="1">
      <c r="B401" s="626"/>
      <c r="C401" s="627"/>
      <c r="D401" s="627"/>
      <c r="E401" s="565"/>
      <c r="H401" s="118" t="s">
        <v>1402</v>
      </c>
      <c r="L401" s="61"/>
      <c r="M401" s="63"/>
      <c r="N401" s="241"/>
      <c r="O401" s="241"/>
      <c r="P401" s="241"/>
      <c r="Q401" s="241"/>
      <c r="R401" s="241"/>
      <c r="S401" s="241"/>
      <c r="T401" s="241"/>
      <c r="U401" s="241"/>
      <c r="V401" s="241"/>
      <c r="W401" s="63">
        <v>6.0</v>
      </c>
      <c r="X401" s="117"/>
      <c r="Y401" s="173"/>
      <c r="Z401" s="63"/>
    </row>
    <row r="402" ht="14.25" customHeight="1">
      <c r="B402" s="626"/>
      <c r="C402" s="627"/>
      <c r="D402" s="627"/>
      <c r="E402" s="559"/>
      <c r="H402" s="118" t="s">
        <v>870</v>
      </c>
      <c r="L402" s="61"/>
      <c r="M402" s="63"/>
      <c r="N402" s="241"/>
      <c r="O402" s="241"/>
      <c r="P402" s="241"/>
      <c r="Q402" s="241"/>
      <c r="R402" s="241"/>
      <c r="S402" s="241"/>
      <c r="T402" s="241"/>
      <c r="U402" s="241"/>
      <c r="V402" s="241"/>
      <c r="W402" s="63">
        <v>0.0</v>
      </c>
      <c r="X402" s="117"/>
      <c r="Y402" s="173"/>
      <c r="Z402" s="63"/>
    </row>
    <row r="403" ht="14.25" customHeight="1">
      <c r="B403" s="626"/>
      <c r="C403" s="627"/>
      <c r="D403" s="627"/>
      <c r="E403" s="565"/>
      <c r="H403" s="118" t="s">
        <v>1397</v>
      </c>
      <c r="L403" s="61"/>
      <c r="M403" s="63"/>
      <c r="N403" s="241"/>
      <c r="O403" s="241"/>
      <c r="P403" s="241"/>
      <c r="Q403" s="241"/>
      <c r="R403" s="241"/>
      <c r="S403" s="241"/>
      <c r="T403" s="241"/>
      <c r="U403" s="241"/>
      <c r="V403" s="241"/>
      <c r="W403" s="63">
        <v>0.0</v>
      </c>
      <c r="X403" s="117"/>
      <c r="Y403" s="173"/>
      <c r="Z403" s="63"/>
    </row>
    <row r="404" ht="14.25" customHeight="1">
      <c r="B404" s="626"/>
      <c r="C404" s="627"/>
      <c r="D404" s="627"/>
      <c r="E404" s="568"/>
      <c r="H404" s="118" t="s">
        <v>1398</v>
      </c>
      <c r="L404" s="61"/>
      <c r="M404" s="63"/>
      <c r="N404" s="241"/>
      <c r="O404" s="241"/>
      <c r="P404" s="241"/>
      <c r="Q404" s="241"/>
      <c r="R404" s="241"/>
      <c r="S404" s="241"/>
      <c r="T404" s="241"/>
      <c r="U404" s="241"/>
      <c r="V404" s="241"/>
      <c r="W404" s="63">
        <v>6.0</v>
      </c>
      <c r="X404" s="117"/>
      <c r="Y404" s="173"/>
      <c r="Z404" s="63"/>
    </row>
    <row r="405" ht="14.25" customHeight="1">
      <c r="B405" s="626"/>
      <c r="C405" s="627"/>
      <c r="D405" s="627"/>
      <c r="E405" s="561"/>
      <c r="H405" s="118" t="s">
        <v>1399</v>
      </c>
      <c r="L405" s="61"/>
      <c r="M405" s="63"/>
      <c r="N405" s="241"/>
      <c r="O405" s="241"/>
      <c r="P405" s="241"/>
      <c r="Q405" s="241"/>
      <c r="R405" s="241"/>
      <c r="S405" s="241"/>
      <c r="T405" s="241"/>
      <c r="U405" s="241"/>
      <c r="V405" s="241"/>
      <c r="W405" s="63">
        <v>0.0</v>
      </c>
      <c r="X405" s="117"/>
      <c r="Y405" s="173"/>
      <c r="Z405" s="63"/>
    </row>
    <row r="406" ht="14.25" customHeight="1">
      <c r="B406" s="626"/>
      <c r="C406" s="627"/>
      <c r="D406" s="627"/>
      <c r="E406" s="559"/>
      <c r="H406" s="118" t="s">
        <v>1403</v>
      </c>
      <c r="L406" s="61"/>
      <c r="M406" s="63"/>
      <c r="N406" s="63"/>
      <c r="O406" s="63"/>
      <c r="P406" s="63"/>
      <c r="Q406" s="63"/>
      <c r="R406" s="63"/>
      <c r="S406" s="63"/>
      <c r="T406" s="63"/>
      <c r="U406" s="63"/>
      <c r="V406" s="63"/>
      <c r="W406" s="63">
        <v>0.0</v>
      </c>
      <c r="X406" s="117"/>
      <c r="Y406" s="173"/>
      <c r="Z406" s="63"/>
    </row>
    <row r="407" ht="14.25" customHeight="1">
      <c r="B407" s="626"/>
      <c r="C407" s="627"/>
      <c r="D407" s="627"/>
      <c r="E407" s="565"/>
      <c r="H407" s="118" t="s">
        <v>870</v>
      </c>
      <c r="L407" s="61"/>
      <c r="M407" s="63"/>
      <c r="N407" s="63"/>
      <c r="O407" s="63"/>
      <c r="P407" s="63"/>
      <c r="Q407" s="63"/>
      <c r="R407" s="63"/>
      <c r="S407" s="63"/>
      <c r="T407" s="63"/>
      <c r="U407" s="63"/>
      <c r="V407" s="63"/>
      <c r="W407" s="63">
        <v>0.0</v>
      </c>
      <c r="X407" s="117"/>
      <c r="Y407" s="173"/>
      <c r="Z407" s="63"/>
    </row>
    <row r="408" ht="14.25" hidden="1" customHeight="1">
      <c r="B408" s="626"/>
      <c r="C408" s="627"/>
      <c r="D408" s="627"/>
      <c r="E408" s="565"/>
      <c r="H408" s="118" t="s">
        <v>1397</v>
      </c>
      <c r="L408" s="61"/>
      <c r="M408" s="63"/>
      <c r="N408" s="63"/>
      <c r="O408" s="63"/>
      <c r="P408" s="63"/>
      <c r="Q408" s="63"/>
      <c r="R408" s="63"/>
      <c r="S408" s="63"/>
      <c r="T408" s="63"/>
      <c r="U408" s="63"/>
      <c r="V408" s="63"/>
      <c r="W408" s="63">
        <v>0.0</v>
      </c>
      <c r="X408" s="117"/>
      <c r="Y408" s="173"/>
      <c r="Z408" s="63"/>
    </row>
    <row r="409" ht="14.25" hidden="1" customHeight="1">
      <c r="B409" s="626"/>
      <c r="C409" s="627"/>
      <c r="D409" s="627"/>
      <c r="E409" s="565"/>
      <c r="H409" s="118" t="s">
        <v>1398</v>
      </c>
      <c r="L409" s="61"/>
      <c r="M409" s="63"/>
      <c r="N409" s="63"/>
      <c r="O409" s="63"/>
      <c r="P409" s="63"/>
      <c r="Q409" s="63"/>
      <c r="R409" s="63"/>
      <c r="S409" s="63"/>
      <c r="T409" s="63"/>
      <c r="U409" s="63"/>
      <c r="V409" s="63"/>
      <c r="W409" s="63">
        <v>0.0</v>
      </c>
      <c r="X409" s="117"/>
      <c r="Y409" s="173"/>
      <c r="Z409" s="63"/>
    </row>
    <row r="410" ht="14.25" customHeight="1">
      <c r="B410" s="626"/>
      <c r="C410" s="627"/>
      <c r="D410" s="627"/>
      <c r="E410" s="568"/>
      <c r="H410" s="118" t="s">
        <v>1399</v>
      </c>
      <c r="L410" s="61"/>
      <c r="M410" s="63"/>
      <c r="N410" s="63"/>
      <c r="O410" s="63"/>
      <c r="P410" s="63"/>
      <c r="Q410" s="63"/>
      <c r="R410" s="63"/>
      <c r="S410" s="63"/>
      <c r="T410" s="63"/>
      <c r="U410" s="63"/>
      <c r="V410" s="63"/>
      <c r="W410" s="63">
        <v>0.0</v>
      </c>
      <c r="X410" s="117"/>
      <c r="Y410" s="173"/>
      <c r="Z410" s="63"/>
    </row>
    <row r="411" ht="14.25" customHeight="1">
      <c r="B411" s="626"/>
      <c r="C411" s="627"/>
      <c r="D411" s="627"/>
      <c r="E411" s="561"/>
      <c r="H411" s="118" t="s">
        <v>1404</v>
      </c>
      <c r="L411" s="61"/>
      <c r="M411" s="63"/>
      <c r="N411" s="63"/>
      <c r="O411" s="63"/>
      <c r="P411" s="63"/>
      <c r="Q411" s="63"/>
      <c r="R411" s="63"/>
      <c r="S411" s="63"/>
      <c r="T411" s="63"/>
      <c r="U411" s="63"/>
      <c r="V411" s="63"/>
      <c r="W411" s="63">
        <v>3.0</v>
      </c>
      <c r="X411" s="117"/>
      <c r="Y411" s="173"/>
      <c r="Z411" s="63"/>
    </row>
    <row r="412" ht="14.25" customHeight="1">
      <c r="B412" s="626"/>
      <c r="C412" s="627"/>
      <c r="D412" s="627"/>
      <c r="E412" s="573"/>
      <c r="H412" s="118" t="s">
        <v>870</v>
      </c>
      <c r="L412" s="61"/>
      <c r="M412" s="63"/>
      <c r="N412" s="63"/>
      <c r="O412" s="63"/>
      <c r="P412" s="63"/>
      <c r="Q412" s="63"/>
      <c r="R412" s="63"/>
      <c r="S412" s="63"/>
      <c r="T412" s="63"/>
      <c r="U412" s="63"/>
      <c r="V412" s="63"/>
      <c r="W412" s="63">
        <v>0.0</v>
      </c>
      <c r="X412" s="117"/>
      <c r="Y412" s="173"/>
      <c r="Z412" s="63"/>
    </row>
    <row r="413" ht="14.25" customHeight="1">
      <c r="B413" s="626"/>
      <c r="C413" s="627"/>
      <c r="D413" s="627"/>
      <c r="E413" s="565"/>
      <c r="H413" s="118" t="s">
        <v>1397</v>
      </c>
      <c r="L413" s="61"/>
      <c r="M413" s="63"/>
      <c r="N413" s="63"/>
      <c r="O413" s="63"/>
      <c r="P413" s="63"/>
      <c r="Q413" s="63"/>
      <c r="R413" s="63"/>
      <c r="S413" s="63"/>
      <c r="T413" s="63"/>
      <c r="U413" s="63"/>
      <c r="V413" s="63"/>
      <c r="W413" s="63">
        <v>0.0</v>
      </c>
      <c r="X413" s="117"/>
      <c r="Y413" s="173"/>
      <c r="Z413" s="63"/>
    </row>
    <row r="414" ht="14.25" customHeight="1">
      <c r="B414" s="626"/>
      <c r="C414" s="627"/>
      <c r="D414" s="627"/>
      <c r="E414" s="565"/>
      <c r="H414" s="118" t="s">
        <v>1398</v>
      </c>
      <c r="L414" s="61"/>
      <c r="M414" s="63"/>
      <c r="N414" s="63"/>
      <c r="O414" s="63"/>
      <c r="P414" s="63"/>
      <c r="Q414" s="63"/>
      <c r="R414" s="63"/>
      <c r="S414" s="63"/>
      <c r="T414" s="63"/>
      <c r="U414" s="63"/>
      <c r="V414" s="63"/>
      <c r="W414" s="63">
        <v>3.0</v>
      </c>
      <c r="X414" s="117"/>
      <c r="Y414" s="173"/>
      <c r="Z414" s="63"/>
    </row>
    <row r="415" ht="14.25" customHeight="1">
      <c r="B415" s="626"/>
      <c r="C415" s="627"/>
      <c r="D415" s="627"/>
      <c r="E415" s="573"/>
      <c r="H415" s="118" t="s">
        <v>1399</v>
      </c>
      <c r="L415" s="61"/>
      <c r="M415" s="63"/>
      <c r="N415" s="63"/>
      <c r="O415" s="63"/>
      <c r="P415" s="63"/>
      <c r="Q415" s="63"/>
      <c r="R415" s="63"/>
      <c r="S415" s="63"/>
      <c r="T415" s="63"/>
      <c r="U415" s="63"/>
      <c r="V415" s="63"/>
      <c r="W415" s="63">
        <v>0.0</v>
      </c>
      <c r="X415" s="117"/>
      <c r="Y415" s="173"/>
      <c r="Z415" s="63"/>
    </row>
    <row r="416" ht="14.25" customHeight="1">
      <c r="B416" s="626"/>
      <c r="C416" s="627"/>
      <c r="D416" s="627"/>
      <c r="E416" s="583"/>
      <c r="H416" s="118" t="s">
        <v>1405</v>
      </c>
      <c r="L416" s="61"/>
      <c r="M416" s="63"/>
      <c r="N416" s="241"/>
      <c r="O416" s="241"/>
      <c r="P416" s="241"/>
      <c r="Q416" s="241"/>
      <c r="R416" s="241"/>
      <c r="S416" s="241"/>
      <c r="T416" s="241"/>
      <c r="U416" s="241"/>
      <c r="V416" s="241"/>
      <c r="W416" s="63">
        <v>5.0</v>
      </c>
      <c r="X416" s="117"/>
      <c r="Y416" s="173"/>
      <c r="Z416" s="63"/>
    </row>
    <row r="417" ht="14.25" customHeight="1">
      <c r="B417" s="626"/>
      <c r="C417" s="627"/>
      <c r="D417" s="627"/>
      <c r="E417" s="582"/>
      <c r="H417" s="118" t="s">
        <v>870</v>
      </c>
      <c r="L417" s="61"/>
      <c r="M417" s="63"/>
      <c r="N417" s="241"/>
      <c r="O417" s="241"/>
      <c r="P417" s="241"/>
      <c r="Q417" s="241"/>
      <c r="R417" s="241"/>
      <c r="S417" s="241"/>
      <c r="T417" s="241"/>
      <c r="U417" s="241"/>
      <c r="V417" s="241"/>
      <c r="W417" s="63">
        <v>0.0</v>
      </c>
      <c r="X417" s="117"/>
      <c r="Y417" s="173"/>
      <c r="Z417" s="63"/>
    </row>
    <row r="418" ht="14.25" customHeight="1">
      <c r="B418" s="626"/>
      <c r="C418" s="627"/>
      <c r="D418" s="627"/>
      <c r="E418" s="573"/>
      <c r="H418" s="118" t="s">
        <v>1397</v>
      </c>
      <c r="L418" s="61"/>
      <c r="M418" s="63"/>
      <c r="N418" s="241"/>
      <c r="O418" s="241"/>
      <c r="P418" s="241"/>
      <c r="Q418" s="241"/>
      <c r="R418" s="241"/>
      <c r="S418" s="241"/>
      <c r="T418" s="241"/>
      <c r="U418" s="241"/>
      <c r="V418" s="241"/>
      <c r="W418" s="63">
        <v>5.0</v>
      </c>
      <c r="X418" s="117"/>
      <c r="Y418" s="173"/>
      <c r="Z418" s="63"/>
    </row>
    <row r="419" ht="14.25" customHeight="1">
      <c r="B419" s="626"/>
      <c r="C419" s="627"/>
      <c r="D419" s="627"/>
      <c r="E419" s="583"/>
      <c r="H419" s="118" t="s">
        <v>1398</v>
      </c>
      <c r="L419" s="61"/>
      <c r="M419" s="63"/>
      <c r="N419" s="241"/>
      <c r="O419" s="241"/>
      <c r="P419" s="241"/>
      <c r="Q419" s="241"/>
      <c r="R419" s="241"/>
      <c r="S419" s="241"/>
      <c r="T419" s="241"/>
      <c r="U419" s="241"/>
      <c r="V419" s="241"/>
      <c r="W419" s="63">
        <v>0.0</v>
      </c>
      <c r="X419" s="117"/>
      <c r="Y419" s="173"/>
      <c r="Z419" s="63"/>
    </row>
    <row r="420" ht="14.25" customHeight="1">
      <c r="B420" s="626"/>
      <c r="C420" s="627"/>
      <c r="D420" s="627"/>
      <c r="E420" s="565"/>
      <c r="H420" s="118" t="s">
        <v>1399</v>
      </c>
      <c r="L420" s="61"/>
      <c r="M420" s="63"/>
      <c r="N420" s="241"/>
      <c r="O420" s="241"/>
      <c r="P420" s="241"/>
      <c r="Q420" s="241"/>
      <c r="R420" s="241"/>
      <c r="S420" s="241"/>
      <c r="T420" s="241"/>
      <c r="U420" s="241"/>
      <c r="V420" s="241"/>
      <c r="W420" s="63">
        <v>0.0</v>
      </c>
      <c r="X420" s="117"/>
      <c r="Y420" s="173"/>
      <c r="Z420" s="63"/>
    </row>
    <row r="421" ht="14.25" customHeight="1">
      <c r="B421" s="626"/>
      <c r="C421" s="627"/>
      <c r="D421" s="627"/>
      <c r="E421" s="561"/>
      <c r="H421" s="118" t="s">
        <v>1406</v>
      </c>
      <c r="L421" s="61"/>
      <c r="M421" s="63"/>
      <c r="N421" s="63"/>
      <c r="O421" s="63"/>
      <c r="P421" s="63"/>
      <c r="Q421" s="63"/>
      <c r="R421" s="63"/>
      <c r="S421" s="63"/>
      <c r="T421" s="63"/>
      <c r="U421" s="63"/>
      <c r="V421" s="63"/>
      <c r="W421" s="63">
        <v>5.0</v>
      </c>
      <c r="X421" s="117"/>
      <c r="Y421" s="173"/>
      <c r="Z421" s="63"/>
    </row>
    <row r="422" ht="14.25" customHeight="1">
      <c r="B422" s="626"/>
      <c r="C422" s="627"/>
      <c r="D422" s="627"/>
      <c r="E422" s="573"/>
      <c r="I422" s="118" t="s">
        <v>1407</v>
      </c>
      <c r="L422" s="61"/>
      <c r="M422" s="63"/>
      <c r="N422" s="63"/>
      <c r="O422" s="63"/>
      <c r="P422" s="63"/>
      <c r="Q422" s="63"/>
      <c r="R422" s="63"/>
      <c r="S422" s="63"/>
      <c r="T422" s="63"/>
      <c r="U422" s="63"/>
      <c r="V422" s="63"/>
      <c r="W422" s="63">
        <v>5.0</v>
      </c>
      <c r="X422" s="117"/>
      <c r="Y422" s="173"/>
      <c r="Z422" s="63"/>
    </row>
    <row r="423" ht="14.25" customHeight="1">
      <c r="B423" s="626"/>
      <c r="C423" s="627"/>
      <c r="D423" s="627"/>
      <c r="E423" s="583"/>
      <c r="I423" s="118" t="s">
        <v>1408</v>
      </c>
      <c r="L423" s="61"/>
      <c r="M423" s="63"/>
      <c r="N423" s="63"/>
      <c r="O423" s="63"/>
      <c r="P423" s="63"/>
      <c r="Q423" s="63"/>
      <c r="R423" s="63"/>
      <c r="S423" s="63"/>
      <c r="T423" s="63"/>
      <c r="U423" s="63"/>
      <c r="V423" s="63"/>
      <c r="W423" s="63">
        <v>0.0</v>
      </c>
      <c r="X423" s="117"/>
      <c r="Y423" s="173"/>
      <c r="Z423" s="63"/>
    </row>
    <row r="424" ht="14.25" customHeight="1">
      <c r="B424" s="626"/>
      <c r="C424" s="627"/>
      <c r="D424" s="627"/>
      <c r="E424" s="583"/>
      <c r="I424" s="118" t="s">
        <v>1408</v>
      </c>
      <c r="L424" s="61"/>
      <c r="M424" s="63"/>
      <c r="N424" s="63"/>
      <c r="O424" s="63"/>
      <c r="P424" s="63"/>
      <c r="Q424" s="63"/>
      <c r="R424" s="63"/>
      <c r="S424" s="63"/>
      <c r="T424" s="63"/>
      <c r="U424" s="63"/>
      <c r="V424" s="63"/>
      <c r="W424" s="63">
        <v>0.0</v>
      </c>
      <c r="X424" s="117"/>
      <c r="Y424" s="173"/>
      <c r="Z424" s="63"/>
    </row>
    <row r="425" ht="14.25" customHeight="1">
      <c r="B425" s="626"/>
      <c r="C425" s="627"/>
      <c r="D425" s="627"/>
      <c r="E425" s="582"/>
      <c r="G425" s="118" t="s">
        <v>1409</v>
      </c>
      <c r="H425" s="118" t="s">
        <v>1410</v>
      </c>
      <c r="L425" s="61"/>
      <c r="M425" s="63"/>
      <c r="N425" s="63"/>
      <c r="O425" s="63"/>
      <c r="P425" s="63"/>
      <c r="Q425" s="63"/>
      <c r="R425" s="63"/>
      <c r="S425" s="63"/>
      <c r="T425" s="63"/>
      <c r="U425" s="63"/>
      <c r="V425" s="63"/>
      <c r="W425" s="63"/>
      <c r="X425" s="117"/>
      <c r="Y425" s="173"/>
      <c r="Z425" s="63"/>
    </row>
    <row r="426" ht="14.25" customHeight="1">
      <c r="B426" s="626"/>
      <c r="C426" s="627"/>
      <c r="D426" s="627"/>
      <c r="E426" s="573"/>
      <c r="H426" s="118" t="s">
        <v>940</v>
      </c>
      <c r="L426" s="61"/>
      <c r="M426" s="63"/>
      <c r="N426" s="63"/>
      <c r="O426" s="63"/>
      <c r="P426" s="63"/>
      <c r="Q426" s="63"/>
      <c r="R426" s="63"/>
      <c r="S426" s="63"/>
      <c r="T426" s="63"/>
      <c r="U426" s="63"/>
      <c r="V426" s="63"/>
      <c r="W426" s="63">
        <v>21.0</v>
      </c>
      <c r="X426" s="117"/>
      <c r="Y426" s="173"/>
      <c r="Z426" s="63"/>
    </row>
    <row r="427" ht="14.25" customHeight="1">
      <c r="B427" s="626"/>
      <c r="C427" s="627"/>
      <c r="D427" s="627"/>
      <c r="E427" s="583"/>
      <c r="H427" s="118" t="s">
        <v>368</v>
      </c>
      <c r="I427" s="118" t="s">
        <v>1411</v>
      </c>
      <c r="L427" s="61"/>
      <c r="M427" s="63"/>
      <c r="N427" s="241"/>
      <c r="O427" s="241"/>
      <c r="P427" s="241"/>
      <c r="Q427" s="241"/>
      <c r="R427" s="241"/>
      <c r="S427" s="241"/>
      <c r="T427" s="241"/>
      <c r="U427" s="241"/>
      <c r="V427" s="241"/>
      <c r="W427" s="63">
        <v>0.0</v>
      </c>
      <c r="X427" s="117"/>
      <c r="Y427" s="173"/>
      <c r="Z427" s="63"/>
    </row>
    <row r="428" ht="14.25" customHeight="1">
      <c r="B428" s="626"/>
      <c r="C428" s="627"/>
      <c r="D428" s="627"/>
      <c r="E428" s="583"/>
      <c r="H428" s="118" t="s">
        <v>368</v>
      </c>
      <c r="I428" s="118" t="s">
        <v>911</v>
      </c>
      <c r="L428" s="61"/>
      <c r="M428" s="63"/>
      <c r="N428" s="241"/>
      <c r="O428" s="241"/>
      <c r="P428" s="241"/>
      <c r="Q428" s="241"/>
      <c r="R428" s="241"/>
      <c r="S428" s="241"/>
      <c r="T428" s="241"/>
      <c r="U428" s="241"/>
      <c r="V428" s="241"/>
      <c r="W428" s="63">
        <v>0.0</v>
      </c>
      <c r="X428" s="117"/>
      <c r="Y428" s="173"/>
      <c r="Z428" s="63"/>
    </row>
    <row r="429" ht="14.25" customHeight="1">
      <c r="B429" s="626"/>
      <c r="C429" s="627"/>
      <c r="D429" s="627"/>
      <c r="E429" s="583"/>
      <c r="H429" s="118" t="s">
        <v>368</v>
      </c>
      <c r="I429" s="118" t="s">
        <v>912</v>
      </c>
      <c r="L429" s="61"/>
      <c r="M429" s="63"/>
      <c r="N429" s="241"/>
      <c r="O429" s="241"/>
      <c r="P429" s="241"/>
      <c r="Q429" s="241"/>
      <c r="R429" s="241"/>
      <c r="S429" s="241"/>
      <c r="T429" s="241"/>
      <c r="U429" s="241"/>
      <c r="V429" s="241"/>
      <c r="W429" s="63">
        <v>0.0</v>
      </c>
      <c r="X429" s="117"/>
      <c r="Y429" s="173"/>
      <c r="Z429" s="63"/>
    </row>
    <row r="430" ht="14.25" customHeight="1">
      <c r="B430" s="626"/>
      <c r="C430" s="627"/>
      <c r="D430" s="627"/>
      <c r="E430" s="583"/>
      <c r="H430" s="118" t="s">
        <v>368</v>
      </c>
      <c r="I430" s="118" t="s">
        <v>915</v>
      </c>
      <c r="L430" s="61"/>
      <c r="M430" s="63"/>
      <c r="N430" s="241"/>
      <c r="O430" s="241"/>
      <c r="P430" s="241"/>
      <c r="Q430" s="241"/>
      <c r="R430" s="241"/>
      <c r="S430" s="241"/>
      <c r="T430" s="241"/>
      <c r="U430" s="241"/>
      <c r="V430" s="241"/>
      <c r="W430" s="63">
        <v>19.0</v>
      </c>
      <c r="X430" s="117"/>
      <c r="Y430" s="173"/>
      <c r="Z430" s="63"/>
    </row>
    <row r="431" ht="14.25" customHeight="1">
      <c r="B431" s="626"/>
      <c r="C431" s="627"/>
      <c r="D431" s="627"/>
      <c r="E431" s="582"/>
      <c r="H431" s="118" t="s">
        <v>368</v>
      </c>
      <c r="I431" s="118" t="s">
        <v>917</v>
      </c>
      <c r="L431" s="61"/>
      <c r="M431" s="63"/>
      <c r="N431" s="241"/>
      <c r="O431" s="241"/>
      <c r="P431" s="241"/>
      <c r="Q431" s="241"/>
      <c r="R431" s="241"/>
      <c r="S431" s="241"/>
      <c r="T431" s="241"/>
      <c r="U431" s="241"/>
      <c r="V431" s="241"/>
      <c r="W431" s="63">
        <v>0.0</v>
      </c>
      <c r="X431" s="117"/>
      <c r="Y431" s="173"/>
      <c r="Z431" s="63"/>
    </row>
    <row r="432" ht="14.25" customHeight="1">
      <c r="B432" s="626"/>
      <c r="C432" s="627"/>
      <c r="D432" s="627"/>
      <c r="E432" s="573"/>
      <c r="H432" s="118" t="s">
        <v>368</v>
      </c>
      <c r="I432" s="118" t="s">
        <v>919</v>
      </c>
      <c r="L432" s="61"/>
      <c r="M432" s="63"/>
      <c r="N432" s="241"/>
      <c r="O432" s="241"/>
      <c r="P432" s="241"/>
      <c r="Q432" s="241"/>
      <c r="R432" s="241"/>
      <c r="S432" s="241"/>
      <c r="T432" s="241"/>
      <c r="U432" s="241"/>
      <c r="V432" s="241"/>
      <c r="W432" s="63">
        <v>2.0</v>
      </c>
      <c r="X432" s="117"/>
      <c r="Y432" s="173"/>
      <c r="Z432" s="63"/>
    </row>
    <row r="433" ht="14.25" customHeight="1">
      <c r="B433" s="626"/>
      <c r="C433" s="627"/>
      <c r="D433" s="627"/>
      <c r="E433" s="583"/>
      <c r="I433" s="118" t="s">
        <v>1412</v>
      </c>
      <c r="L433" s="61"/>
      <c r="M433" s="63"/>
      <c r="N433" s="241"/>
      <c r="O433" s="241"/>
      <c r="P433" s="241"/>
      <c r="Q433" s="241"/>
      <c r="R433" s="241"/>
      <c r="S433" s="241"/>
      <c r="T433" s="241"/>
      <c r="U433" s="241"/>
      <c r="V433" s="241"/>
      <c r="W433" s="63">
        <v>2.0</v>
      </c>
      <c r="X433" s="117"/>
      <c r="Y433" s="173"/>
      <c r="Z433" s="63"/>
    </row>
    <row r="434" ht="14.25" customHeight="1">
      <c r="B434" s="626"/>
      <c r="C434" s="627"/>
      <c r="D434" s="627"/>
      <c r="E434" s="573"/>
      <c r="I434" s="118" t="s">
        <v>1408</v>
      </c>
      <c r="L434" s="61"/>
      <c r="M434" s="63"/>
      <c r="N434" s="241"/>
      <c r="O434" s="241"/>
      <c r="P434" s="241"/>
      <c r="Q434" s="241"/>
      <c r="R434" s="241"/>
      <c r="S434" s="241"/>
      <c r="T434" s="241"/>
      <c r="U434" s="241"/>
      <c r="V434" s="241"/>
      <c r="W434" s="63">
        <v>0.0</v>
      </c>
      <c r="X434" s="117"/>
      <c r="Y434" s="173"/>
      <c r="Z434" s="63"/>
    </row>
    <row r="435" ht="14.25" customHeight="1">
      <c r="B435" s="626"/>
      <c r="C435" s="627"/>
      <c r="D435" s="627"/>
      <c r="E435" s="561"/>
      <c r="F435" s="118" t="s">
        <v>403</v>
      </c>
      <c r="I435" s="118" t="s">
        <v>1408</v>
      </c>
      <c r="L435" s="61"/>
      <c r="M435" s="63"/>
      <c r="N435" s="63"/>
      <c r="O435" s="63"/>
      <c r="P435" s="63"/>
      <c r="Q435" s="63"/>
      <c r="R435" s="63"/>
      <c r="S435" s="63"/>
      <c r="T435" s="63"/>
      <c r="U435" s="63"/>
      <c r="V435" s="63"/>
      <c r="W435" s="63">
        <v>0.0</v>
      </c>
      <c r="X435" s="117"/>
      <c r="Y435" s="173"/>
      <c r="Z435" s="63"/>
    </row>
    <row r="436" ht="14.25" customHeight="1">
      <c r="B436" s="626"/>
      <c r="C436" s="627"/>
      <c r="D436" s="627"/>
      <c r="E436" s="573" t="s">
        <v>906</v>
      </c>
      <c r="F436" s="118" t="s">
        <v>1413</v>
      </c>
      <c r="L436" s="61"/>
      <c r="M436" s="63"/>
      <c r="N436" s="63"/>
      <c r="O436" s="63"/>
      <c r="P436" s="63"/>
      <c r="Q436" s="63"/>
      <c r="R436" s="63"/>
      <c r="S436" s="63"/>
      <c r="T436" s="63"/>
      <c r="U436" s="63"/>
      <c r="V436" s="63"/>
      <c r="W436" s="63"/>
      <c r="X436" s="117"/>
      <c r="Y436" s="173"/>
      <c r="Z436" s="63"/>
    </row>
    <row r="437" ht="14.25" customHeight="1">
      <c r="B437" s="626"/>
      <c r="C437" s="627"/>
      <c r="D437" s="627"/>
      <c r="E437" s="565"/>
      <c r="F437" s="118" t="s">
        <v>1414</v>
      </c>
      <c r="L437" s="61"/>
      <c r="M437" s="63"/>
      <c r="N437" s="63"/>
      <c r="O437" s="63"/>
      <c r="P437" s="63"/>
      <c r="Q437" s="63"/>
      <c r="R437" s="63"/>
      <c r="S437" s="63"/>
      <c r="T437" s="63"/>
      <c r="U437" s="63"/>
      <c r="V437" s="63"/>
      <c r="W437" s="63">
        <v>386.0</v>
      </c>
      <c r="X437" s="117"/>
      <c r="Y437" s="173"/>
      <c r="Z437" s="63"/>
    </row>
    <row r="438" ht="14.25" customHeight="1">
      <c r="B438" s="626"/>
      <c r="C438" s="627"/>
      <c r="D438" s="627"/>
      <c r="E438" s="565"/>
      <c r="F438" s="118" t="s">
        <v>845</v>
      </c>
      <c r="G438" s="118" t="s">
        <v>1411</v>
      </c>
      <c r="L438" s="61"/>
      <c r="M438" s="63"/>
      <c r="N438" s="63"/>
      <c r="O438" s="63"/>
      <c r="P438" s="63"/>
      <c r="Q438" s="63"/>
      <c r="R438" s="63"/>
      <c r="S438" s="63"/>
      <c r="T438" s="63"/>
      <c r="U438" s="63"/>
      <c r="V438" s="63"/>
      <c r="W438" s="63">
        <v>52.0</v>
      </c>
      <c r="X438" s="117"/>
      <c r="Y438" s="173"/>
      <c r="Z438" s="63"/>
    </row>
    <row r="439" ht="14.25" customHeight="1">
      <c r="B439" s="626"/>
      <c r="C439" s="627"/>
      <c r="D439" s="627"/>
      <c r="E439" s="565"/>
      <c r="F439" s="118" t="s">
        <v>847</v>
      </c>
      <c r="G439" s="118" t="s">
        <v>911</v>
      </c>
      <c r="L439" s="61"/>
      <c r="M439" s="63"/>
      <c r="N439" s="63"/>
      <c r="O439" s="63"/>
      <c r="P439" s="63"/>
      <c r="Q439" s="63"/>
      <c r="R439" s="63"/>
      <c r="S439" s="63"/>
      <c r="T439" s="63"/>
      <c r="U439" s="63"/>
      <c r="V439" s="63"/>
      <c r="W439" s="63">
        <v>28.0</v>
      </c>
      <c r="X439" s="117"/>
      <c r="Y439" s="173"/>
      <c r="Z439" s="63"/>
    </row>
    <row r="440" ht="14.25" customHeight="1">
      <c r="B440" s="626"/>
      <c r="C440" s="627"/>
      <c r="D440" s="627"/>
      <c r="E440" s="565"/>
      <c r="F440" s="118" t="s">
        <v>849</v>
      </c>
      <c r="G440" s="118" t="s">
        <v>912</v>
      </c>
      <c r="L440" s="61"/>
      <c r="M440" s="63"/>
      <c r="N440" s="63"/>
      <c r="O440" s="63"/>
      <c r="P440" s="63"/>
      <c r="Q440" s="63"/>
      <c r="R440" s="63"/>
      <c r="S440" s="63"/>
      <c r="T440" s="63"/>
      <c r="U440" s="63"/>
      <c r="V440" s="63"/>
      <c r="W440" s="63">
        <v>9.0</v>
      </c>
      <c r="X440" s="117"/>
      <c r="Y440" s="173"/>
      <c r="Z440" s="63"/>
    </row>
    <row r="441" ht="14.25" customHeight="1">
      <c r="B441" s="626"/>
      <c r="C441" s="627"/>
      <c r="D441" s="627"/>
      <c r="E441" s="565"/>
      <c r="F441" s="118" t="s">
        <v>858</v>
      </c>
      <c r="G441" s="118" t="s">
        <v>915</v>
      </c>
      <c r="L441" s="61"/>
      <c r="M441" s="63"/>
      <c r="N441" s="63"/>
      <c r="O441" s="63"/>
      <c r="P441" s="63"/>
      <c r="Q441" s="63"/>
      <c r="R441" s="63"/>
      <c r="S441" s="63"/>
      <c r="T441" s="63"/>
      <c r="U441" s="63"/>
      <c r="V441" s="63"/>
      <c r="W441" s="63">
        <v>263.0</v>
      </c>
      <c r="X441" s="117"/>
      <c r="Y441" s="173"/>
      <c r="Z441" s="63"/>
    </row>
    <row r="442" ht="14.25" customHeight="1">
      <c r="B442" s="626"/>
      <c r="C442" s="627"/>
      <c r="D442" s="627"/>
      <c r="E442" s="565"/>
      <c r="F442" s="118" t="s">
        <v>860</v>
      </c>
      <c r="G442" s="118" t="s">
        <v>917</v>
      </c>
      <c r="L442" s="61"/>
      <c r="M442" s="63"/>
      <c r="N442" s="63"/>
      <c r="O442" s="63"/>
      <c r="P442" s="63"/>
      <c r="Q442" s="63"/>
      <c r="R442" s="63"/>
      <c r="S442" s="63"/>
      <c r="T442" s="63"/>
      <c r="U442" s="63"/>
      <c r="V442" s="63"/>
      <c r="W442" s="63">
        <v>32.0</v>
      </c>
      <c r="X442" s="117"/>
      <c r="Y442" s="173"/>
      <c r="Z442" s="63"/>
    </row>
    <row r="443" ht="14.25" customHeight="1">
      <c r="B443" s="626"/>
      <c r="C443" s="627"/>
      <c r="D443" s="627"/>
      <c r="E443" s="573"/>
      <c r="F443" s="118" t="s">
        <v>862</v>
      </c>
      <c r="G443" s="118" t="s">
        <v>919</v>
      </c>
      <c r="L443" s="61"/>
      <c r="M443" s="63"/>
      <c r="N443" s="63"/>
      <c r="O443" s="63"/>
      <c r="P443" s="63"/>
      <c r="Q443" s="63"/>
      <c r="R443" s="63"/>
      <c r="S443" s="63"/>
      <c r="T443" s="63"/>
      <c r="U443" s="63"/>
      <c r="V443" s="63"/>
      <c r="W443" s="63">
        <v>2.0</v>
      </c>
      <c r="X443" s="117"/>
      <c r="Y443" s="173"/>
      <c r="Z443" s="63"/>
    </row>
    <row r="444" ht="14.25" customHeight="1">
      <c r="B444" s="626"/>
      <c r="C444" s="627"/>
      <c r="D444" s="627"/>
      <c r="E444" s="629"/>
      <c r="G444" s="118" t="s">
        <v>1412</v>
      </c>
      <c r="L444" s="61"/>
      <c r="M444" s="63"/>
      <c r="N444" s="241"/>
      <c r="O444" s="241"/>
      <c r="P444" s="241"/>
      <c r="Q444" s="241"/>
      <c r="R444" s="241"/>
      <c r="S444" s="241"/>
      <c r="T444" s="241"/>
      <c r="U444" s="241"/>
      <c r="V444" s="241"/>
      <c r="W444" s="63">
        <v>0.0</v>
      </c>
      <c r="X444" s="117"/>
      <c r="Y444" s="173"/>
      <c r="Z444" s="63"/>
    </row>
    <row r="445" ht="14.25" customHeight="1">
      <c r="B445" s="626"/>
      <c r="C445" s="627"/>
      <c r="D445" s="627"/>
      <c r="E445" s="565"/>
      <c r="G445" s="118" t="s">
        <v>1415</v>
      </c>
      <c r="L445" s="61"/>
      <c r="M445" s="63"/>
      <c r="N445" s="241"/>
      <c r="O445" s="241"/>
      <c r="P445" s="241"/>
      <c r="Q445" s="241"/>
      <c r="R445" s="241"/>
      <c r="S445" s="241"/>
      <c r="T445" s="241"/>
      <c r="U445" s="241"/>
      <c r="V445" s="241"/>
      <c r="W445" s="63">
        <v>2.0</v>
      </c>
      <c r="X445" s="117"/>
      <c r="Y445" s="173"/>
      <c r="Z445" s="63"/>
    </row>
    <row r="446" ht="14.25" customHeight="1">
      <c r="B446" s="626"/>
      <c r="C446" s="627"/>
      <c r="D446" s="627"/>
      <c r="G446" s="118" t="s">
        <v>1416</v>
      </c>
      <c r="L446" s="61"/>
      <c r="M446" s="63"/>
      <c r="N446" s="63"/>
      <c r="O446" s="63"/>
      <c r="P446" s="63"/>
      <c r="Q446" s="63"/>
      <c r="R446" s="63"/>
      <c r="S446" s="63"/>
      <c r="T446" s="63"/>
      <c r="U446" s="63"/>
      <c r="V446" s="63"/>
      <c r="W446" s="63">
        <v>0.0</v>
      </c>
      <c r="X446" s="117"/>
      <c r="Y446" s="173"/>
      <c r="Z446" s="63"/>
    </row>
    <row r="447" ht="14.25" customHeight="1">
      <c r="B447" s="626" t="s">
        <v>403</v>
      </c>
      <c r="C447" s="627" t="s">
        <v>403</v>
      </c>
      <c r="D447" s="627"/>
      <c r="E447" s="118" t="s">
        <v>924</v>
      </c>
      <c r="F447" s="118" t="s">
        <v>1417</v>
      </c>
      <c r="L447" s="61"/>
      <c r="M447" s="63"/>
      <c r="N447" s="63"/>
      <c r="O447" s="63"/>
      <c r="P447" s="63"/>
      <c r="Q447" s="63"/>
      <c r="R447" s="63"/>
      <c r="S447" s="63"/>
      <c r="T447" s="63"/>
      <c r="U447" s="63"/>
      <c r="V447" s="63"/>
      <c r="W447" s="63">
        <v>779.0</v>
      </c>
      <c r="X447" s="117"/>
      <c r="Y447" s="173"/>
      <c r="Z447" s="63"/>
    </row>
    <row r="448" ht="14.25" customHeight="1">
      <c r="B448" s="626"/>
      <c r="C448" s="627"/>
      <c r="D448" s="627"/>
      <c r="E448" s="118" t="s">
        <v>403</v>
      </c>
      <c r="F448" s="118" t="s">
        <v>868</v>
      </c>
      <c r="L448" s="61"/>
      <c r="M448" s="63"/>
      <c r="N448" s="63"/>
      <c r="O448" s="63"/>
      <c r="P448" s="63"/>
      <c r="Q448" s="63"/>
      <c r="R448" s="63"/>
      <c r="S448" s="63"/>
      <c r="T448" s="63"/>
      <c r="U448" s="63"/>
      <c r="V448" s="63"/>
      <c r="W448" s="63">
        <v>2.0</v>
      </c>
      <c r="X448" s="117"/>
      <c r="Y448" s="173"/>
      <c r="Z448" s="63"/>
    </row>
    <row r="449" ht="14.25" customHeight="1">
      <c r="B449" s="626"/>
      <c r="C449" s="627"/>
      <c r="D449" s="627"/>
      <c r="E449" s="118" t="s">
        <v>403</v>
      </c>
      <c r="F449" s="118" t="s">
        <v>869</v>
      </c>
      <c r="L449" s="61"/>
      <c r="M449" s="63"/>
      <c r="N449" s="63"/>
      <c r="O449" s="63"/>
      <c r="P449" s="63"/>
      <c r="Q449" s="63"/>
      <c r="R449" s="63"/>
      <c r="S449" s="63"/>
      <c r="T449" s="63"/>
      <c r="U449" s="63"/>
      <c r="V449" s="63"/>
      <c r="W449" s="63">
        <v>81.0</v>
      </c>
      <c r="X449" s="117"/>
      <c r="Y449" s="173"/>
      <c r="Z449" s="63"/>
    </row>
    <row r="450" ht="14.25" customHeight="1">
      <c r="B450" s="626"/>
      <c r="C450" s="627"/>
      <c r="D450" s="627"/>
      <c r="F450" s="118" t="s">
        <v>870</v>
      </c>
      <c r="L450" s="61"/>
      <c r="M450" s="63"/>
      <c r="N450" s="63"/>
      <c r="O450" s="63"/>
      <c r="P450" s="63"/>
      <c r="Q450" s="63"/>
      <c r="R450" s="63"/>
      <c r="S450" s="63"/>
      <c r="T450" s="63"/>
      <c r="U450" s="63"/>
      <c r="V450" s="63"/>
      <c r="W450" s="63">
        <v>122.0</v>
      </c>
      <c r="X450" s="117"/>
      <c r="Y450" s="173"/>
      <c r="Z450" s="63"/>
    </row>
    <row r="451" ht="14.25" customHeight="1">
      <c r="B451" s="626" t="s">
        <v>403</v>
      </c>
      <c r="C451" s="627" t="s">
        <v>403</v>
      </c>
      <c r="D451" s="627"/>
      <c r="F451" s="118" t="s">
        <v>871</v>
      </c>
      <c r="L451" s="61"/>
      <c r="M451" s="63"/>
      <c r="N451" s="63"/>
      <c r="O451" s="63"/>
      <c r="P451" s="63"/>
      <c r="Q451" s="63"/>
      <c r="R451" s="63"/>
      <c r="S451" s="63"/>
      <c r="T451" s="63"/>
      <c r="U451" s="63"/>
      <c r="V451" s="63"/>
      <c r="W451" s="63">
        <v>188.0</v>
      </c>
      <c r="X451" s="117"/>
      <c r="Y451" s="173"/>
      <c r="Z451" s="63"/>
    </row>
    <row r="452" ht="14.25" customHeight="1">
      <c r="B452" s="626"/>
      <c r="C452" s="627"/>
      <c r="D452" s="627"/>
      <c r="F452" s="118" t="s">
        <v>872</v>
      </c>
      <c r="L452" s="61"/>
      <c r="M452" s="63"/>
      <c r="N452" s="63"/>
      <c r="O452" s="63"/>
      <c r="P452" s="63"/>
      <c r="Q452" s="63"/>
      <c r="R452" s="63"/>
      <c r="S452" s="63"/>
      <c r="T452" s="63"/>
      <c r="U452" s="63"/>
      <c r="V452" s="63"/>
      <c r="W452" s="63">
        <v>386.0</v>
      </c>
      <c r="X452" s="117"/>
      <c r="Y452" s="173"/>
      <c r="Z452" s="63"/>
    </row>
    <row r="453" ht="14.25" customHeight="1">
      <c r="B453" s="626" t="s">
        <v>403</v>
      </c>
      <c r="C453" s="627" t="s">
        <v>403</v>
      </c>
      <c r="D453" s="627"/>
      <c r="E453" s="118" t="s">
        <v>926</v>
      </c>
      <c r="F453" s="118" t="s">
        <v>1418</v>
      </c>
      <c r="L453" s="61"/>
      <c r="M453" s="63"/>
      <c r="N453" s="63"/>
      <c r="O453" s="63"/>
      <c r="P453" s="63"/>
      <c r="Q453" s="63"/>
      <c r="R453" s="63"/>
      <c r="S453" s="63"/>
      <c r="T453" s="63"/>
      <c r="U453" s="63"/>
      <c r="V453" s="63"/>
      <c r="W453" s="63"/>
      <c r="X453" s="117"/>
      <c r="Y453" s="173"/>
      <c r="Z453" s="63"/>
    </row>
    <row r="454" ht="14.25" customHeight="1">
      <c r="B454" s="626"/>
      <c r="C454" s="627"/>
      <c r="D454" s="627"/>
      <c r="F454" s="118" t="s">
        <v>1419</v>
      </c>
      <c r="L454" s="61"/>
      <c r="M454" s="63"/>
      <c r="N454" s="63"/>
      <c r="O454" s="63"/>
      <c r="P454" s="63"/>
      <c r="Q454" s="63"/>
      <c r="R454" s="63"/>
      <c r="S454" s="63"/>
      <c r="T454" s="63"/>
      <c r="U454" s="63"/>
      <c r="V454" s="63"/>
      <c r="W454" s="63">
        <v>65.0</v>
      </c>
      <c r="X454" s="117"/>
      <c r="Y454" s="173"/>
      <c r="Z454" s="63"/>
    </row>
    <row r="455" ht="14.25" customHeight="1">
      <c r="B455" s="626"/>
      <c r="C455" s="627"/>
      <c r="D455" s="627"/>
      <c r="F455" s="118" t="s">
        <v>868</v>
      </c>
      <c r="L455" s="61"/>
      <c r="M455" s="63"/>
      <c r="N455" s="63"/>
      <c r="O455" s="63"/>
      <c r="P455" s="63"/>
      <c r="Q455" s="63"/>
      <c r="R455" s="63"/>
      <c r="S455" s="63"/>
      <c r="T455" s="63"/>
      <c r="U455" s="63"/>
      <c r="V455" s="63"/>
      <c r="W455" s="63">
        <v>5.0</v>
      </c>
      <c r="X455" s="117"/>
      <c r="Y455" s="173"/>
      <c r="Z455" s="63"/>
    </row>
    <row r="456" ht="14.25" customHeight="1">
      <c r="B456" s="626"/>
      <c r="C456" s="627"/>
      <c r="D456" s="627"/>
      <c r="F456" s="118" t="s">
        <v>869</v>
      </c>
      <c r="L456" s="61"/>
      <c r="M456" s="63"/>
      <c r="N456" s="63"/>
      <c r="O456" s="63"/>
      <c r="P456" s="63"/>
      <c r="Q456" s="63"/>
      <c r="R456" s="63"/>
      <c r="S456" s="63"/>
      <c r="T456" s="63"/>
      <c r="U456" s="63"/>
      <c r="V456" s="63"/>
      <c r="W456" s="63">
        <v>19.0</v>
      </c>
      <c r="X456" s="117"/>
      <c r="Y456" s="173"/>
      <c r="Z456" s="63"/>
    </row>
    <row r="457" ht="14.25" customHeight="1">
      <c r="B457" s="626"/>
      <c r="C457" s="627"/>
      <c r="D457" s="627"/>
      <c r="E457" s="589"/>
      <c r="F457" s="118" t="s">
        <v>870</v>
      </c>
      <c r="L457" s="61"/>
      <c r="M457" s="63"/>
      <c r="N457" s="63"/>
      <c r="O457" s="63"/>
      <c r="P457" s="63"/>
      <c r="Q457" s="63"/>
      <c r="R457" s="63"/>
      <c r="S457" s="63"/>
      <c r="T457" s="63"/>
      <c r="U457" s="63"/>
      <c r="V457" s="63"/>
      <c r="W457" s="63">
        <v>16.0</v>
      </c>
      <c r="X457" s="117"/>
      <c r="Y457" s="173"/>
      <c r="Z457" s="63"/>
    </row>
    <row r="458" ht="14.25" customHeight="1">
      <c r="B458" s="626"/>
      <c r="C458" s="627"/>
      <c r="D458" s="627"/>
      <c r="E458" s="70"/>
      <c r="F458" s="118" t="s">
        <v>871</v>
      </c>
      <c r="L458" s="61"/>
      <c r="M458" s="63"/>
      <c r="N458" s="63"/>
      <c r="O458" s="63"/>
      <c r="P458" s="63"/>
      <c r="Q458" s="63"/>
      <c r="R458" s="63"/>
      <c r="S458" s="63"/>
      <c r="T458" s="63"/>
      <c r="U458" s="63"/>
      <c r="V458" s="63"/>
      <c r="W458" s="63">
        <v>16.0</v>
      </c>
      <c r="X458" s="117"/>
      <c r="Y458" s="173"/>
      <c r="Z458" s="63"/>
    </row>
    <row r="459" ht="14.25" customHeight="1">
      <c r="B459" s="626"/>
      <c r="C459" s="627"/>
      <c r="D459" s="627"/>
      <c r="E459" s="70"/>
      <c r="F459" s="118" t="s">
        <v>872</v>
      </c>
      <c r="L459" s="61"/>
      <c r="M459" s="63"/>
      <c r="N459" s="63"/>
      <c r="O459" s="63"/>
      <c r="P459" s="63"/>
      <c r="Q459" s="63"/>
      <c r="R459" s="63"/>
      <c r="S459" s="63"/>
      <c r="T459" s="63"/>
      <c r="U459" s="63"/>
      <c r="V459" s="63"/>
      <c r="W459" s="63">
        <v>8.0</v>
      </c>
      <c r="X459" s="117"/>
      <c r="Y459" s="173"/>
      <c r="Z459" s="63"/>
    </row>
    <row r="460" ht="14.25" customHeight="1">
      <c r="B460" s="626"/>
      <c r="C460" s="627"/>
      <c r="D460" s="627"/>
      <c r="E460" s="70"/>
      <c r="F460" s="118" t="s">
        <v>873</v>
      </c>
      <c r="L460" s="61"/>
      <c r="M460" s="63"/>
      <c r="N460" s="63"/>
      <c r="O460" s="63"/>
      <c r="P460" s="63"/>
      <c r="Q460" s="63"/>
      <c r="R460" s="63"/>
      <c r="S460" s="63"/>
      <c r="T460" s="63"/>
      <c r="U460" s="63"/>
      <c r="V460" s="63"/>
      <c r="W460" s="63">
        <v>1.0</v>
      </c>
      <c r="X460" s="117"/>
      <c r="Y460" s="173"/>
      <c r="Z460" s="63"/>
    </row>
    <row r="461" ht="14.25" customHeight="1">
      <c r="B461" s="626"/>
      <c r="C461" s="627"/>
      <c r="D461" s="627"/>
      <c r="E461" s="70"/>
      <c r="F461" s="118" t="s">
        <v>845</v>
      </c>
      <c r="G461" s="118" t="s">
        <v>1420</v>
      </c>
      <c r="L461" s="61"/>
      <c r="M461" s="63"/>
      <c r="N461" s="63"/>
      <c r="O461" s="63"/>
      <c r="P461" s="63"/>
      <c r="Q461" s="63"/>
      <c r="R461" s="63"/>
      <c r="S461" s="63"/>
      <c r="T461" s="63"/>
      <c r="U461" s="63"/>
      <c r="V461" s="63"/>
      <c r="W461" s="63">
        <v>16.0</v>
      </c>
      <c r="X461" s="117"/>
      <c r="Y461" s="173"/>
      <c r="Z461" s="63"/>
    </row>
    <row r="462" ht="14.25" customHeight="1">
      <c r="B462" s="626"/>
      <c r="C462" s="625"/>
      <c r="D462" s="625"/>
      <c r="E462" s="70"/>
      <c r="G462" s="118" t="s">
        <v>368</v>
      </c>
      <c r="H462" s="118" t="s">
        <v>1421</v>
      </c>
      <c r="L462" s="61"/>
      <c r="M462" s="63"/>
      <c r="N462" s="63"/>
      <c r="O462" s="63"/>
      <c r="P462" s="63"/>
      <c r="Q462" s="63"/>
      <c r="R462" s="63"/>
      <c r="S462" s="63"/>
      <c r="T462" s="63"/>
      <c r="U462" s="63"/>
      <c r="V462" s="63"/>
      <c r="W462" s="63">
        <v>5.0</v>
      </c>
      <c r="X462" s="117"/>
      <c r="Y462" s="173"/>
      <c r="Z462" s="63"/>
    </row>
    <row r="463" ht="14.25" customHeight="1">
      <c r="B463" s="626"/>
      <c r="C463" s="627"/>
      <c r="D463" s="627"/>
      <c r="E463" s="70"/>
      <c r="H463" s="118" t="s">
        <v>868</v>
      </c>
      <c r="L463" s="61"/>
      <c r="M463" s="63"/>
      <c r="N463" s="63"/>
      <c r="O463" s="63"/>
      <c r="P463" s="63"/>
      <c r="Q463" s="63"/>
      <c r="R463" s="63"/>
      <c r="S463" s="63"/>
      <c r="T463" s="63"/>
      <c r="U463" s="63"/>
      <c r="V463" s="63"/>
      <c r="W463" s="63">
        <v>1.0</v>
      </c>
      <c r="X463" s="117"/>
      <c r="Y463" s="173"/>
      <c r="Z463" s="63"/>
    </row>
    <row r="464" ht="14.25" customHeight="1">
      <c r="B464" s="626"/>
      <c r="C464" s="627"/>
      <c r="D464" s="627"/>
      <c r="E464" s="70"/>
      <c r="H464" s="118" t="s">
        <v>869</v>
      </c>
      <c r="L464" s="61"/>
      <c r="M464" s="63"/>
      <c r="N464" s="63"/>
      <c r="O464" s="63"/>
      <c r="P464" s="63"/>
      <c r="Q464" s="63"/>
      <c r="R464" s="63"/>
      <c r="S464" s="63"/>
      <c r="T464" s="63"/>
      <c r="U464" s="63"/>
      <c r="V464" s="63"/>
      <c r="W464" s="63">
        <v>1.0</v>
      </c>
      <c r="X464" s="117"/>
      <c r="Y464" s="173"/>
      <c r="Z464" s="63"/>
    </row>
    <row r="465" ht="14.25" customHeight="1">
      <c r="B465" s="626"/>
      <c r="C465" s="627"/>
      <c r="D465" s="627"/>
      <c r="E465" s="70"/>
      <c r="H465" s="118" t="s">
        <v>870</v>
      </c>
      <c r="L465" s="61"/>
      <c r="M465" s="63"/>
      <c r="N465" s="63"/>
      <c r="O465" s="63"/>
      <c r="P465" s="63"/>
      <c r="Q465" s="63"/>
      <c r="R465" s="63"/>
      <c r="S465" s="63"/>
      <c r="T465" s="63"/>
      <c r="U465" s="63"/>
      <c r="V465" s="63"/>
      <c r="W465" s="63">
        <v>0.0</v>
      </c>
      <c r="X465" s="117"/>
      <c r="Y465" s="173"/>
      <c r="Z465" s="63"/>
    </row>
    <row r="466" ht="14.25" customHeight="1">
      <c r="B466" s="626"/>
      <c r="C466" s="627"/>
      <c r="D466" s="627"/>
      <c r="E466" s="97"/>
      <c r="H466" s="118" t="s">
        <v>871</v>
      </c>
      <c r="L466" s="61"/>
      <c r="M466" s="63"/>
      <c r="N466" s="63"/>
      <c r="O466" s="63"/>
      <c r="P466" s="63"/>
      <c r="Q466" s="63"/>
      <c r="R466" s="63"/>
      <c r="S466" s="63"/>
      <c r="T466" s="63"/>
      <c r="U466" s="63"/>
      <c r="V466" s="63"/>
      <c r="W466" s="63">
        <v>3.0</v>
      </c>
      <c r="X466" s="117"/>
      <c r="Y466" s="173"/>
      <c r="Z466" s="63"/>
    </row>
    <row r="467" ht="14.25" customHeight="1">
      <c r="B467" s="626"/>
      <c r="C467" s="627"/>
      <c r="D467" s="627"/>
      <c r="E467" s="70"/>
      <c r="H467" s="118" t="s">
        <v>872</v>
      </c>
      <c r="L467" s="61"/>
      <c r="M467" s="63"/>
      <c r="N467" s="241"/>
      <c r="O467" s="241"/>
      <c r="P467" s="241"/>
      <c r="Q467" s="241"/>
      <c r="R467" s="241"/>
      <c r="S467" s="241"/>
      <c r="T467" s="241"/>
      <c r="U467" s="241"/>
      <c r="V467" s="241"/>
      <c r="W467" s="63">
        <v>0.0</v>
      </c>
      <c r="X467" s="117"/>
      <c r="Y467" s="173"/>
      <c r="Z467" s="63"/>
    </row>
    <row r="468" ht="14.25" customHeight="1">
      <c r="B468" s="626"/>
      <c r="C468" s="627"/>
      <c r="D468" s="627"/>
      <c r="E468" s="70"/>
      <c r="H468" s="118" t="s">
        <v>873</v>
      </c>
      <c r="L468" s="61"/>
      <c r="M468" s="63"/>
      <c r="N468" s="241"/>
      <c r="O468" s="241"/>
      <c r="P468" s="241"/>
      <c r="Q468" s="241"/>
      <c r="R468" s="241"/>
      <c r="S468" s="241"/>
      <c r="T468" s="241"/>
      <c r="U468" s="241"/>
      <c r="V468" s="241"/>
      <c r="W468" s="63">
        <v>0.0</v>
      </c>
      <c r="X468" s="117"/>
      <c r="Y468" s="173"/>
      <c r="Z468" s="63"/>
    </row>
    <row r="469" ht="14.25" customHeight="1">
      <c r="B469" s="626"/>
      <c r="C469" s="627"/>
      <c r="D469" s="627"/>
      <c r="E469" s="70"/>
      <c r="G469" s="118" t="s">
        <v>368</v>
      </c>
      <c r="H469" s="118" t="s">
        <v>1422</v>
      </c>
      <c r="L469" s="61"/>
      <c r="M469" s="63"/>
      <c r="N469" s="241"/>
      <c r="O469" s="241"/>
      <c r="P469" s="241"/>
      <c r="Q469" s="241"/>
      <c r="R469" s="241"/>
      <c r="S469" s="241"/>
      <c r="T469" s="241"/>
      <c r="U469" s="241"/>
      <c r="V469" s="241"/>
      <c r="W469" s="63">
        <v>11.0</v>
      </c>
      <c r="X469" s="117"/>
      <c r="Y469" s="173"/>
      <c r="Z469" s="63"/>
    </row>
    <row r="470" ht="14.25" customHeight="1">
      <c r="B470" s="626"/>
      <c r="C470" s="627"/>
      <c r="D470" s="627"/>
      <c r="E470" s="70"/>
      <c r="H470" s="118" t="s">
        <v>868</v>
      </c>
      <c r="L470" s="61"/>
      <c r="M470" s="63"/>
      <c r="N470" s="241"/>
      <c r="O470" s="241"/>
      <c r="P470" s="241"/>
      <c r="Q470" s="241"/>
      <c r="R470" s="241"/>
      <c r="S470" s="241"/>
      <c r="T470" s="241"/>
      <c r="U470" s="241"/>
      <c r="V470" s="241"/>
      <c r="W470" s="63">
        <v>0.0</v>
      </c>
      <c r="X470" s="117"/>
      <c r="Y470" s="173"/>
      <c r="Z470" s="63"/>
    </row>
    <row r="471" ht="14.25" customHeight="1">
      <c r="B471" s="626"/>
      <c r="C471" s="627"/>
      <c r="D471" s="627"/>
      <c r="E471" s="70"/>
      <c r="H471" s="118" t="s">
        <v>869</v>
      </c>
      <c r="L471" s="61"/>
      <c r="M471" s="63"/>
      <c r="N471" s="241"/>
      <c r="O471" s="241"/>
      <c r="P471" s="241"/>
      <c r="Q471" s="241"/>
      <c r="R471" s="241"/>
      <c r="S471" s="241"/>
      <c r="T471" s="241"/>
      <c r="U471" s="241"/>
      <c r="V471" s="241"/>
      <c r="W471" s="63">
        <v>3.0</v>
      </c>
      <c r="X471" s="117"/>
      <c r="Y471" s="173"/>
      <c r="Z471" s="63"/>
    </row>
    <row r="472" ht="14.25" customHeight="1">
      <c r="B472" s="626"/>
      <c r="C472" s="627"/>
      <c r="D472" s="627"/>
      <c r="E472" s="70"/>
      <c r="H472" s="118" t="s">
        <v>870</v>
      </c>
      <c r="L472" s="61"/>
      <c r="M472" s="63"/>
      <c r="N472" s="241"/>
      <c r="O472" s="241"/>
      <c r="P472" s="241"/>
      <c r="Q472" s="241"/>
      <c r="R472" s="241"/>
      <c r="S472" s="241"/>
      <c r="T472" s="241"/>
      <c r="U472" s="241"/>
      <c r="V472" s="241"/>
      <c r="W472" s="63">
        <v>2.0</v>
      </c>
      <c r="X472" s="117"/>
      <c r="Y472" s="173"/>
      <c r="Z472" s="63"/>
    </row>
    <row r="473" ht="14.25" customHeight="1">
      <c r="B473" s="626"/>
      <c r="C473" s="627"/>
      <c r="D473" s="627"/>
      <c r="E473" s="97"/>
      <c r="H473" s="118" t="s">
        <v>871</v>
      </c>
      <c r="L473" s="61"/>
      <c r="M473" s="63"/>
      <c r="N473" s="241"/>
      <c r="O473" s="241"/>
      <c r="P473" s="241"/>
      <c r="Q473" s="241"/>
      <c r="R473" s="241"/>
      <c r="S473" s="241"/>
      <c r="T473" s="241"/>
      <c r="U473" s="241"/>
      <c r="V473" s="241"/>
      <c r="W473" s="63">
        <v>4.0</v>
      </c>
      <c r="X473" s="117"/>
      <c r="Y473" s="173"/>
      <c r="Z473" s="63"/>
    </row>
    <row r="474" ht="14.25" customHeight="1">
      <c r="B474" s="626"/>
      <c r="C474" s="627"/>
      <c r="D474" s="627"/>
      <c r="E474" s="70"/>
      <c r="H474" s="118" t="s">
        <v>872</v>
      </c>
      <c r="L474" s="61"/>
      <c r="M474" s="63"/>
      <c r="N474" s="241"/>
      <c r="O474" s="241"/>
      <c r="P474" s="241"/>
      <c r="Q474" s="241"/>
      <c r="R474" s="241"/>
      <c r="S474" s="241"/>
      <c r="T474" s="241"/>
      <c r="U474" s="241"/>
      <c r="V474" s="241"/>
      <c r="W474" s="63">
        <v>2.0</v>
      </c>
      <c r="X474" s="117"/>
      <c r="Y474" s="173"/>
      <c r="Z474" s="63"/>
    </row>
    <row r="475" ht="14.25" customHeight="1">
      <c r="B475" s="626"/>
      <c r="C475" s="627"/>
      <c r="D475" s="627"/>
      <c r="E475" s="70"/>
      <c r="H475" s="118" t="s">
        <v>873</v>
      </c>
      <c r="L475" s="61"/>
      <c r="M475" s="63"/>
      <c r="N475" s="241"/>
      <c r="O475" s="241"/>
      <c r="P475" s="241"/>
      <c r="Q475" s="241"/>
      <c r="R475" s="241"/>
      <c r="S475" s="241"/>
      <c r="T475" s="241"/>
      <c r="U475" s="241"/>
      <c r="V475" s="241"/>
      <c r="W475" s="63">
        <v>0.0</v>
      </c>
      <c r="X475" s="117"/>
      <c r="Y475" s="173"/>
      <c r="Z475" s="63"/>
    </row>
    <row r="476" ht="14.25" customHeight="1">
      <c r="B476" s="626"/>
      <c r="C476" s="627"/>
      <c r="D476" s="627"/>
      <c r="E476" s="70"/>
      <c r="F476" s="118" t="s">
        <v>847</v>
      </c>
      <c r="G476" s="118" t="s">
        <v>1423</v>
      </c>
      <c r="L476" s="61"/>
      <c r="M476" s="63"/>
      <c r="N476" s="241"/>
      <c r="O476" s="241"/>
      <c r="P476" s="241"/>
      <c r="Q476" s="241"/>
      <c r="R476" s="241"/>
      <c r="S476" s="241"/>
      <c r="T476" s="241"/>
      <c r="U476" s="241"/>
      <c r="V476" s="241"/>
      <c r="W476" s="63">
        <v>47.0</v>
      </c>
      <c r="X476" s="117"/>
      <c r="Y476" s="173"/>
      <c r="Z476" s="63"/>
    </row>
    <row r="477" ht="14.25" customHeight="1">
      <c r="B477" s="626"/>
      <c r="C477" s="627"/>
      <c r="D477" s="627"/>
      <c r="E477" s="70"/>
      <c r="G477" s="118" t="s">
        <v>368</v>
      </c>
      <c r="H477" s="118" t="s">
        <v>934</v>
      </c>
      <c r="L477" s="61"/>
      <c r="M477" s="63"/>
      <c r="N477" s="241"/>
      <c r="O477" s="241"/>
      <c r="P477" s="241"/>
      <c r="Q477" s="241"/>
      <c r="R477" s="241"/>
      <c r="S477" s="241"/>
      <c r="T477" s="241"/>
      <c r="U477" s="241"/>
      <c r="V477" s="241"/>
      <c r="W477" s="63">
        <v>16.0</v>
      </c>
      <c r="X477" s="117"/>
      <c r="Y477" s="173"/>
      <c r="Z477" s="63"/>
    </row>
    <row r="478" ht="14.25" customHeight="1">
      <c r="B478" s="626"/>
      <c r="C478" s="627"/>
      <c r="D478" s="627"/>
      <c r="E478" s="70"/>
      <c r="H478" s="118" t="s">
        <v>868</v>
      </c>
      <c r="L478" s="61"/>
      <c r="M478" s="63"/>
      <c r="N478" s="241"/>
      <c r="O478" s="241"/>
      <c r="P478" s="241"/>
      <c r="Q478" s="241"/>
      <c r="R478" s="241"/>
      <c r="S478" s="241"/>
      <c r="T478" s="241"/>
      <c r="U478" s="241"/>
      <c r="V478" s="241"/>
      <c r="W478" s="63">
        <v>0.0</v>
      </c>
      <c r="X478" s="117"/>
      <c r="Y478" s="173"/>
      <c r="Z478" s="63"/>
    </row>
    <row r="479" ht="14.25" customHeight="1">
      <c r="B479" s="626"/>
      <c r="C479" s="627"/>
      <c r="D479" s="627"/>
      <c r="E479" s="70"/>
      <c r="H479" s="118" t="s">
        <v>869</v>
      </c>
      <c r="L479" s="61"/>
      <c r="M479" s="63"/>
      <c r="N479" s="63"/>
      <c r="O479" s="63"/>
      <c r="P479" s="63"/>
      <c r="Q479" s="241"/>
      <c r="R479" s="63"/>
      <c r="S479" s="63"/>
      <c r="T479" s="63"/>
      <c r="U479" s="63"/>
      <c r="V479" s="241"/>
      <c r="W479" s="63">
        <v>5.0</v>
      </c>
      <c r="X479" s="117"/>
      <c r="Y479" s="173"/>
      <c r="Z479" s="63"/>
    </row>
    <row r="480" ht="14.25" customHeight="1">
      <c r="B480" s="626"/>
      <c r="C480" s="627"/>
      <c r="D480" s="627"/>
      <c r="E480" s="589"/>
      <c r="H480" s="118" t="s">
        <v>870</v>
      </c>
      <c r="L480" s="61"/>
      <c r="M480" s="63"/>
      <c r="N480" s="63"/>
      <c r="O480" s="63"/>
      <c r="P480" s="63"/>
      <c r="Q480" s="63"/>
      <c r="R480" s="63"/>
      <c r="S480" s="63"/>
      <c r="T480" s="63"/>
      <c r="U480" s="63"/>
      <c r="V480" s="63"/>
      <c r="W480" s="63">
        <v>6.0</v>
      </c>
      <c r="X480" s="117"/>
      <c r="Y480" s="173"/>
      <c r="Z480" s="63"/>
    </row>
    <row r="481" ht="14.25" customHeight="1">
      <c r="B481" s="626"/>
      <c r="C481" s="627"/>
      <c r="D481" s="627"/>
      <c r="E481" s="70"/>
      <c r="H481" s="118" t="s">
        <v>871</v>
      </c>
      <c r="L481" s="61"/>
      <c r="M481" s="63"/>
      <c r="N481" s="63"/>
      <c r="O481" s="63"/>
      <c r="P481" s="63"/>
      <c r="Q481" s="63"/>
      <c r="R481" s="63"/>
      <c r="S481" s="63"/>
      <c r="T481" s="63"/>
      <c r="U481" s="63"/>
      <c r="V481" s="63"/>
      <c r="W481" s="63">
        <v>3.0</v>
      </c>
      <c r="X481" s="117"/>
      <c r="Y481" s="173"/>
      <c r="Z481" s="63"/>
    </row>
    <row r="482" ht="14.25" customHeight="1">
      <c r="B482" s="626"/>
      <c r="C482" s="627"/>
      <c r="D482" s="627"/>
      <c r="E482" s="70"/>
      <c r="H482" s="118" t="s">
        <v>872</v>
      </c>
      <c r="L482" s="61"/>
      <c r="M482" s="63"/>
      <c r="N482" s="63"/>
      <c r="O482" s="63"/>
      <c r="P482" s="63"/>
      <c r="Q482" s="63"/>
      <c r="R482" s="63"/>
      <c r="S482" s="63"/>
      <c r="T482" s="63"/>
      <c r="U482" s="63"/>
      <c r="V482" s="63"/>
      <c r="W482" s="63">
        <v>2.0</v>
      </c>
      <c r="X482" s="117"/>
      <c r="Y482" s="173"/>
      <c r="Z482" s="63"/>
    </row>
    <row r="483" ht="14.25" customHeight="1">
      <c r="B483" s="626"/>
      <c r="C483" s="627"/>
      <c r="D483" s="627"/>
      <c r="E483" s="70"/>
      <c r="H483" s="118" t="s">
        <v>873</v>
      </c>
      <c r="L483" s="61"/>
      <c r="M483" s="63"/>
      <c r="N483" s="63"/>
      <c r="O483" s="63"/>
      <c r="P483" s="63"/>
      <c r="Q483" s="63"/>
      <c r="R483" s="63"/>
      <c r="S483" s="63"/>
      <c r="T483" s="63"/>
      <c r="U483" s="63"/>
      <c r="V483" s="63"/>
      <c r="W483" s="63">
        <v>0.0</v>
      </c>
      <c r="X483" s="117"/>
      <c r="Y483" s="173"/>
      <c r="Z483" s="63"/>
    </row>
    <row r="484" ht="14.25" customHeight="1">
      <c r="B484" s="626"/>
      <c r="C484" s="627" t="s">
        <v>403</v>
      </c>
      <c r="D484" s="627"/>
      <c r="E484" s="70"/>
      <c r="G484" s="118" t="s">
        <v>368</v>
      </c>
      <c r="H484" s="118" t="s">
        <v>935</v>
      </c>
      <c r="L484" s="61"/>
      <c r="M484" s="63"/>
      <c r="N484" s="63"/>
      <c r="O484" s="63"/>
      <c r="P484" s="63"/>
      <c r="Q484" s="63"/>
      <c r="R484" s="63"/>
      <c r="S484" s="63"/>
      <c r="T484" s="63"/>
      <c r="U484" s="63"/>
      <c r="V484" s="63"/>
      <c r="W484" s="63">
        <v>31.0</v>
      </c>
      <c r="X484" s="117"/>
      <c r="Y484" s="173"/>
      <c r="Z484" s="63"/>
    </row>
    <row r="485" ht="14.25" customHeight="1">
      <c r="B485" s="626"/>
      <c r="C485" s="627" t="s">
        <v>403</v>
      </c>
      <c r="D485" s="627"/>
      <c r="E485" s="70"/>
      <c r="H485" s="118" t="s">
        <v>868</v>
      </c>
      <c r="L485" s="61"/>
      <c r="M485" s="63"/>
      <c r="N485" s="63"/>
      <c r="O485" s="63"/>
      <c r="P485" s="63"/>
      <c r="Q485" s="63"/>
      <c r="R485" s="63"/>
      <c r="S485" s="63"/>
      <c r="T485" s="63"/>
      <c r="U485" s="63"/>
      <c r="V485" s="63"/>
      <c r="W485" s="63">
        <v>4.0</v>
      </c>
      <c r="X485" s="117"/>
      <c r="Y485" s="173"/>
      <c r="Z485" s="63"/>
    </row>
    <row r="486" ht="14.25" customHeight="1">
      <c r="B486" s="626"/>
      <c r="C486" s="627" t="s">
        <v>403</v>
      </c>
      <c r="D486" s="627"/>
      <c r="E486" s="70"/>
      <c r="H486" s="118" t="s">
        <v>869</v>
      </c>
      <c r="L486" s="61"/>
      <c r="M486" s="63"/>
      <c r="N486" s="63"/>
      <c r="O486" s="63"/>
      <c r="P486" s="63"/>
      <c r="Q486" s="63"/>
      <c r="R486" s="63"/>
      <c r="S486" s="63"/>
      <c r="T486" s="63"/>
      <c r="U486" s="63"/>
      <c r="V486" s="63"/>
      <c r="W486" s="63">
        <v>10.0</v>
      </c>
      <c r="X486" s="117"/>
      <c r="Y486" s="173"/>
      <c r="Z486" s="63"/>
    </row>
    <row r="487" ht="14.25" customHeight="1">
      <c r="B487" s="626"/>
      <c r="C487" s="627"/>
      <c r="D487" s="627"/>
      <c r="E487" s="70"/>
      <c r="H487" s="118" t="s">
        <v>870</v>
      </c>
      <c r="L487" s="61"/>
      <c r="M487" s="63"/>
      <c r="N487" s="63"/>
      <c r="O487" s="63"/>
      <c r="P487" s="63"/>
      <c r="Q487" s="63"/>
      <c r="R487" s="63"/>
      <c r="S487" s="63"/>
      <c r="T487" s="63"/>
      <c r="U487" s="63"/>
      <c r="V487" s="63"/>
      <c r="W487" s="63">
        <v>7.0</v>
      </c>
      <c r="X487" s="117"/>
      <c r="Y487" s="173"/>
      <c r="Z487" s="63"/>
    </row>
    <row r="488" ht="14.25" customHeight="1">
      <c r="B488" s="626"/>
      <c r="C488" s="627"/>
      <c r="D488" s="627" t="s">
        <v>403</v>
      </c>
      <c r="E488" s="70"/>
      <c r="H488" s="118" t="s">
        <v>871</v>
      </c>
      <c r="L488" s="61"/>
      <c r="M488" s="63"/>
      <c r="N488" s="63"/>
      <c r="O488" s="630"/>
      <c r="P488" s="630"/>
      <c r="Q488" s="630"/>
      <c r="R488" s="63"/>
      <c r="S488" s="63"/>
      <c r="T488" s="630"/>
      <c r="U488" s="630"/>
      <c r="V488" s="630"/>
      <c r="W488" s="63">
        <v>6.0</v>
      </c>
      <c r="X488" s="117"/>
      <c r="Y488" s="173"/>
      <c r="Z488" s="63"/>
    </row>
    <row r="489" ht="14.25" customHeight="1">
      <c r="B489" s="626"/>
      <c r="C489" s="627"/>
      <c r="D489" s="627"/>
      <c r="E489" s="70"/>
      <c r="H489" s="118" t="s">
        <v>872</v>
      </c>
      <c r="L489" s="61"/>
      <c r="M489" s="63"/>
      <c r="N489" s="63"/>
      <c r="O489" s="63"/>
      <c r="P489" s="63"/>
      <c r="Q489" s="63"/>
      <c r="R489" s="63"/>
      <c r="S489" s="63"/>
      <c r="T489" s="63"/>
      <c r="U489" s="63"/>
      <c r="V489" s="63"/>
      <c r="W489" s="63">
        <v>4.0</v>
      </c>
      <c r="X489" s="117"/>
      <c r="Y489" s="173"/>
      <c r="Z489" s="63"/>
    </row>
    <row r="490" ht="14.25" customHeight="1">
      <c r="B490" s="626"/>
      <c r="C490" s="627"/>
      <c r="D490" s="627"/>
      <c r="E490" s="70"/>
      <c r="H490" s="118" t="s">
        <v>873</v>
      </c>
      <c r="L490" s="61"/>
      <c r="M490" s="63"/>
      <c r="N490" s="63"/>
      <c r="O490" s="63"/>
      <c r="P490" s="63"/>
      <c r="Q490" s="63"/>
      <c r="R490" s="63"/>
      <c r="S490" s="63"/>
      <c r="T490" s="63"/>
      <c r="U490" s="63"/>
      <c r="V490" s="63"/>
      <c r="W490" s="63">
        <v>0.0</v>
      </c>
      <c r="X490" s="117"/>
      <c r="Y490" s="173"/>
      <c r="Z490" s="63"/>
    </row>
    <row r="491" ht="14.25" customHeight="1">
      <c r="B491" s="626"/>
      <c r="C491" s="627"/>
      <c r="D491" s="627"/>
      <c r="E491" s="70"/>
      <c r="F491" s="118" t="s">
        <v>849</v>
      </c>
      <c r="G491" s="118" t="s">
        <v>1424</v>
      </c>
      <c r="L491" s="61"/>
      <c r="M491" s="63"/>
      <c r="N491" s="63"/>
      <c r="O491" s="63"/>
      <c r="P491" s="63"/>
      <c r="Q491" s="63"/>
      <c r="R491" s="63"/>
      <c r="S491" s="63"/>
      <c r="T491" s="63"/>
      <c r="U491" s="63"/>
      <c r="V491" s="63"/>
      <c r="W491" s="63">
        <v>2.0</v>
      </c>
      <c r="X491" s="117"/>
      <c r="Y491" s="173"/>
      <c r="Z491" s="63"/>
    </row>
    <row r="492" ht="14.25" customHeight="1">
      <c r="B492" s="626"/>
      <c r="C492" s="627"/>
      <c r="D492" s="627"/>
      <c r="E492" s="70"/>
      <c r="G492" s="118" t="s">
        <v>868</v>
      </c>
      <c r="L492" s="61"/>
      <c r="M492" s="63"/>
      <c r="N492" s="63"/>
      <c r="O492" s="63"/>
      <c r="P492" s="63"/>
      <c r="Q492" s="63"/>
      <c r="R492" s="63"/>
      <c r="S492" s="63"/>
      <c r="T492" s="63"/>
      <c r="U492" s="63"/>
      <c r="V492" s="63"/>
      <c r="W492" s="63">
        <v>0.0</v>
      </c>
      <c r="X492" s="117"/>
      <c r="Y492" s="173"/>
      <c r="Z492" s="63"/>
    </row>
    <row r="493" ht="14.25" customHeight="1">
      <c r="B493" s="626"/>
      <c r="C493" s="627"/>
      <c r="D493" s="627"/>
      <c r="E493" s="70"/>
      <c r="G493" s="118" t="s">
        <v>869</v>
      </c>
      <c r="L493" s="61"/>
      <c r="M493" s="63"/>
      <c r="N493" s="631"/>
      <c r="O493" s="63"/>
      <c r="P493" s="631"/>
      <c r="Q493" s="63"/>
      <c r="R493" s="63"/>
      <c r="S493" s="631"/>
      <c r="T493" s="63"/>
      <c r="U493" s="631"/>
      <c r="V493" s="63"/>
      <c r="W493" s="63">
        <v>0.0</v>
      </c>
      <c r="X493" s="117"/>
      <c r="Y493" s="173"/>
      <c r="Z493" s="63"/>
    </row>
    <row r="494" ht="14.25" customHeight="1">
      <c r="B494" s="626"/>
      <c r="C494" s="627"/>
      <c r="D494" s="627"/>
      <c r="E494" s="70"/>
      <c r="G494" s="118" t="s">
        <v>870</v>
      </c>
      <c r="L494" s="61"/>
      <c r="M494" s="63"/>
      <c r="N494" s="403"/>
      <c r="O494" s="63"/>
      <c r="P494" s="63"/>
      <c r="Q494" s="63"/>
      <c r="R494" s="63"/>
      <c r="S494" s="403"/>
      <c r="T494" s="63"/>
      <c r="U494" s="63"/>
      <c r="V494" s="63"/>
      <c r="W494" s="63">
        <v>1.0</v>
      </c>
      <c r="X494" s="117"/>
      <c r="Y494" s="173"/>
      <c r="Z494" s="63"/>
    </row>
    <row r="495" ht="14.25" customHeight="1">
      <c r="B495" s="626"/>
      <c r="C495" s="627"/>
      <c r="D495" s="627"/>
      <c r="E495" s="70"/>
      <c r="G495" s="118" t="s">
        <v>871</v>
      </c>
      <c r="L495" s="61"/>
      <c r="M495" s="63"/>
      <c r="N495" s="403"/>
      <c r="O495" s="63"/>
      <c r="P495" s="63"/>
      <c r="Q495" s="63"/>
      <c r="R495" s="63"/>
      <c r="S495" s="403"/>
      <c r="T495" s="63"/>
      <c r="U495" s="63"/>
      <c r="V495" s="63"/>
      <c r="W495" s="63">
        <v>0.0</v>
      </c>
      <c r="X495" s="117"/>
      <c r="Y495" s="173"/>
      <c r="Z495" s="63"/>
    </row>
    <row r="496" ht="14.25" customHeight="1">
      <c r="B496" s="626"/>
      <c r="C496" s="627"/>
      <c r="D496" s="627"/>
      <c r="E496" s="70"/>
      <c r="G496" s="118" t="s">
        <v>872</v>
      </c>
      <c r="L496" s="61"/>
      <c r="M496" s="63"/>
      <c r="N496" s="63"/>
      <c r="O496" s="63"/>
      <c r="P496" s="63"/>
      <c r="Q496" s="63"/>
      <c r="R496" s="63"/>
      <c r="S496" s="63"/>
      <c r="T496" s="63"/>
      <c r="U496" s="63"/>
      <c r="V496" s="63"/>
      <c r="W496" s="63">
        <v>0.0</v>
      </c>
      <c r="X496" s="117"/>
      <c r="Y496" s="173"/>
      <c r="Z496" s="63"/>
    </row>
    <row r="497" ht="14.25" customHeight="1">
      <c r="B497" s="626"/>
      <c r="C497" s="627"/>
      <c r="D497" s="627"/>
      <c r="E497" s="589"/>
      <c r="G497" s="118" t="s">
        <v>873</v>
      </c>
      <c r="L497" s="61"/>
      <c r="M497" s="63"/>
      <c r="N497" s="63"/>
      <c r="O497" s="63"/>
      <c r="P497" s="63"/>
      <c r="Q497" s="63"/>
      <c r="R497" s="63"/>
      <c r="S497" s="63"/>
      <c r="T497" s="63"/>
      <c r="U497" s="63"/>
      <c r="V497" s="63"/>
      <c r="W497" s="63">
        <v>1.0</v>
      </c>
      <c r="X497" s="117"/>
      <c r="Y497" s="173"/>
      <c r="Z497" s="63"/>
    </row>
    <row r="498" ht="14.25" customHeight="1">
      <c r="B498" s="626"/>
      <c r="C498" s="627"/>
      <c r="D498" s="627"/>
      <c r="E498" s="70" t="s">
        <v>937</v>
      </c>
      <c r="F498" s="118" t="s">
        <v>1425</v>
      </c>
      <c r="L498" s="61"/>
      <c r="M498" s="63"/>
      <c r="N498" s="63"/>
      <c r="O498" s="63"/>
      <c r="P498" s="63"/>
      <c r="Q498" s="63"/>
      <c r="R498" s="63"/>
      <c r="S498" s="63"/>
      <c r="T498" s="63"/>
      <c r="U498" s="63"/>
      <c r="V498" s="63"/>
      <c r="W498" s="63"/>
      <c r="X498" s="117"/>
      <c r="Y498" s="173"/>
      <c r="Z498" s="63"/>
    </row>
    <row r="499" ht="14.25" customHeight="1">
      <c r="B499" s="626"/>
      <c r="C499" s="627"/>
      <c r="D499" s="627"/>
      <c r="E499" s="70"/>
      <c r="F499" s="118" t="s">
        <v>1426</v>
      </c>
      <c r="L499" s="61"/>
      <c r="M499" s="63"/>
      <c r="N499" s="63"/>
      <c r="O499" s="63"/>
      <c r="P499" s="63"/>
      <c r="Q499" s="63"/>
      <c r="R499" s="63"/>
      <c r="S499" s="63"/>
      <c r="T499" s="63"/>
      <c r="U499" s="63"/>
      <c r="V499" s="63"/>
      <c r="W499" s="63">
        <v>0.0</v>
      </c>
      <c r="X499" s="117"/>
      <c r="Y499" s="173"/>
      <c r="Z499" s="63"/>
    </row>
    <row r="500" ht="14.25" customHeight="1">
      <c r="B500" s="626"/>
      <c r="C500" s="627"/>
      <c r="D500" s="627"/>
      <c r="E500" s="70"/>
      <c r="F500" s="118" t="s">
        <v>845</v>
      </c>
      <c r="G500" s="118" t="s">
        <v>917</v>
      </c>
      <c r="L500" s="61"/>
      <c r="M500" s="63"/>
      <c r="N500" s="63"/>
      <c r="O500" s="63"/>
      <c r="P500" s="63"/>
      <c r="Q500" s="63"/>
      <c r="R500" s="63"/>
      <c r="S500" s="63"/>
      <c r="T500" s="63"/>
      <c r="U500" s="63"/>
      <c r="V500" s="63"/>
      <c r="W500" s="63">
        <v>0.0</v>
      </c>
      <c r="X500" s="117"/>
      <c r="Y500" s="173"/>
      <c r="Z500" s="63"/>
    </row>
    <row r="501" ht="14.25" customHeight="1">
      <c r="B501" s="626"/>
      <c r="C501" s="627"/>
      <c r="D501" s="627"/>
      <c r="E501" s="70"/>
      <c r="G501" s="118" t="s">
        <v>868</v>
      </c>
      <c r="L501" s="61"/>
      <c r="M501" s="63"/>
      <c r="N501" s="63"/>
      <c r="O501" s="63"/>
      <c r="P501" s="63"/>
      <c r="Q501" s="63"/>
      <c r="R501" s="63"/>
      <c r="S501" s="63"/>
      <c r="T501" s="63"/>
      <c r="U501" s="63"/>
      <c r="V501" s="63"/>
      <c r="W501" s="63">
        <v>0.0</v>
      </c>
      <c r="X501" s="117"/>
      <c r="Y501" s="173"/>
      <c r="Z501" s="63"/>
    </row>
    <row r="502" ht="14.25" customHeight="1">
      <c r="B502" s="626"/>
      <c r="C502" s="627"/>
      <c r="D502" s="627"/>
      <c r="E502" s="70"/>
      <c r="G502" s="118" t="s">
        <v>869</v>
      </c>
      <c r="L502" s="61"/>
      <c r="M502" s="63"/>
      <c r="N502" s="63"/>
      <c r="O502" s="63"/>
      <c r="P502" s="63"/>
      <c r="Q502" s="63"/>
      <c r="R502" s="63"/>
      <c r="S502" s="63"/>
      <c r="T502" s="63"/>
      <c r="U502" s="63"/>
      <c r="V502" s="63"/>
      <c r="W502" s="63">
        <v>0.0</v>
      </c>
      <c r="X502" s="117"/>
      <c r="Y502" s="173"/>
      <c r="Z502" s="63"/>
    </row>
    <row r="503" ht="14.25" customHeight="1">
      <c r="B503" s="626"/>
      <c r="C503" s="627"/>
      <c r="D503" s="627"/>
      <c r="E503" s="70"/>
      <c r="G503" s="118" t="s">
        <v>870</v>
      </c>
      <c r="L503" s="61"/>
      <c r="M503" s="63"/>
      <c r="N503" s="63"/>
      <c r="O503" s="63"/>
      <c r="P503" s="63"/>
      <c r="Q503" s="63"/>
      <c r="R503" s="63"/>
      <c r="S503" s="63"/>
      <c r="T503" s="63"/>
      <c r="U503" s="63"/>
      <c r="V503" s="63"/>
      <c r="W503" s="63">
        <v>0.0</v>
      </c>
      <c r="X503" s="117"/>
      <c r="Y503" s="173"/>
      <c r="Z503" s="63"/>
    </row>
    <row r="504" ht="14.25" customHeight="1">
      <c r="B504" s="626"/>
      <c r="C504" s="627"/>
      <c r="D504" s="627"/>
      <c r="E504" s="70"/>
      <c r="G504" s="118" t="s">
        <v>871</v>
      </c>
      <c r="L504" s="61"/>
      <c r="M504" s="63"/>
      <c r="N504" s="63"/>
      <c r="O504" s="63"/>
      <c r="P504" s="63"/>
      <c r="Q504" s="63"/>
      <c r="R504" s="63"/>
      <c r="S504" s="63"/>
      <c r="T504" s="63"/>
      <c r="U504" s="63"/>
      <c r="V504" s="63"/>
      <c r="W504" s="63">
        <v>0.0</v>
      </c>
      <c r="X504" s="117"/>
      <c r="Y504" s="173"/>
      <c r="Z504" s="63"/>
    </row>
    <row r="505" ht="14.25" customHeight="1">
      <c r="B505" s="626"/>
      <c r="C505" s="627"/>
      <c r="D505" s="627"/>
      <c r="E505" s="70"/>
      <c r="G505" s="118" t="s">
        <v>872</v>
      </c>
      <c r="L505" s="61"/>
      <c r="M505" s="63"/>
      <c r="N505" s="63"/>
      <c r="O505" s="63"/>
      <c r="P505" s="63"/>
      <c r="Q505" s="63"/>
      <c r="R505" s="63"/>
      <c r="S505" s="241"/>
      <c r="T505" s="241"/>
      <c r="U505" s="241"/>
      <c r="V505" s="241"/>
      <c r="W505" s="63">
        <v>0.0</v>
      </c>
      <c r="X505" s="117"/>
      <c r="Y505" s="173"/>
      <c r="Z505" s="63"/>
    </row>
    <row r="506" ht="14.25" customHeight="1">
      <c r="B506" s="626"/>
      <c r="C506" s="627"/>
      <c r="D506" s="627"/>
      <c r="E506" s="70"/>
      <c r="G506" s="118" t="s">
        <v>873</v>
      </c>
      <c r="L506" s="61"/>
      <c r="M506" s="63"/>
      <c r="N506" s="63"/>
      <c r="O506" s="63"/>
      <c r="P506" s="63"/>
      <c r="Q506" s="63"/>
      <c r="R506" s="63"/>
      <c r="S506" s="63"/>
      <c r="T506" s="63"/>
      <c r="U506" s="63"/>
      <c r="V506" s="63"/>
      <c r="W506" s="63">
        <v>0.0</v>
      </c>
      <c r="X506" s="117"/>
      <c r="Y506" s="173"/>
      <c r="Z506" s="63"/>
    </row>
    <row r="507" ht="14.25" customHeight="1">
      <c r="B507" s="626"/>
      <c r="C507" s="627"/>
      <c r="D507" s="627"/>
      <c r="E507" s="70"/>
      <c r="F507" s="118" t="s">
        <v>847</v>
      </c>
      <c r="G507" s="118" t="s">
        <v>1427</v>
      </c>
      <c r="L507" s="61"/>
      <c r="M507" s="63"/>
      <c r="N507" s="63"/>
      <c r="O507" s="63"/>
      <c r="P507" s="63"/>
      <c r="Q507" s="63"/>
      <c r="R507" s="63"/>
      <c r="S507" s="63"/>
      <c r="T507" s="63"/>
      <c r="U507" s="63"/>
      <c r="V507" s="63"/>
      <c r="W507" s="63">
        <v>0.0</v>
      </c>
      <c r="X507" s="117"/>
      <c r="Y507" s="173"/>
      <c r="Z507" s="63"/>
    </row>
    <row r="508" ht="14.25" customHeight="1">
      <c r="B508" s="626"/>
      <c r="C508" s="627"/>
      <c r="D508" s="627"/>
      <c r="E508" s="70"/>
      <c r="G508" s="118" t="s">
        <v>868</v>
      </c>
      <c r="L508" s="61"/>
      <c r="M508" s="63"/>
      <c r="N508" s="63"/>
      <c r="O508" s="63"/>
      <c r="P508" s="63"/>
      <c r="Q508" s="63"/>
      <c r="R508" s="63"/>
      <c r="S508" s="63"/>
      <c r="T508" s="63"/>
      <c r="U508" s="63"/>
      <c r="V508" s="63"/>
      <c r="W508" s="63">
        <v>0.0</v>
      </c>
      <c r="X508" s="117"/>
      <c r="Y508" s="173"/>
      <c r="Z508" s="63"/>
    </row>
    <row r="509" ht="14.25" customHeight="1">
      <c r="B509" s="626"/>
      <c r="C509" s="627"/>
      <c r="D509" s="627"/>
      <c r="E509" s="70"/>
      <c r="G509" s="118" t="s">
        <v>869</v>
      </c>
      <c r="L509" s="61"/>
      <c r="M509" s="63"/>
      <c r="N509" s="63"/>
      <c r="O509" s="63"/>
      <c r="P509" s="63"/>
      <c r="Q509" s="63"/>
      <c r="R509" s="63"/>
      <c r="S509" s="63"/>
      <c r="T509" s="63"/>
      <c r="U509" s="63"/>
      <c r="V509" s="63"/>
      <c r="W509" s="63">
        <v>0.0</v>
      </c>
      <c r="X509" s="117"/>
      <c r="Y509" s="173"/>
      <c r="Z509" s="63"/>
    </row>
    <row r="510" ht="14.25" customHeight="1">
      <c r="B510" s="626"/>
      <c r="C510" s="627"/>
      <c r="D510" s="627"/>
      <c r="E510" s="70"/>
      <c r="G510" s="118" t="s">
        <v>870</v>
      </c>
      <c r="L510" s="61"/>
      <c r="M510" s="63"/>
      <c r="N510" s="63"/>
      <c r="O510" s="63"/>
      <c r="P510" s="63"/>
      <c r="Q510" s="63"/>
      <c r="R510" s="63"/>
      <c r="S510" s="241"/>
      <c r="T510" s="241"/>
      <c r="U510" s="241"/>
      <c r="V510" s="241"/>
      <c r="W510" s="63">
        <v>0.0</v>
      </c>
      <c r="X510" s="117"/>
      <c r="Y510" s="173"/>
      <c r="Z510" s="63"/>
    </row>
    <row r="511" ht="14.25" customHeight="1">
      <c r="B511" s="626"/>
      <c r="C511" s="627"/>
      <c r="D511" s="627"/>
      <c r="E511" s="70"/>
      <c r="G511" s="118" t="s">
        <v>871</v>
      </c>
      <c r="L511" s="61"/>
      <c r="M511" s="63"/>
      <c r="N511" s="63"/>
      <c r="O511" s="63"/>
      <c r="P511" s="63"/>
      <c r="Q511" s="63"/>
      <c r="R511" s="63"/>
      <c r="S511" s="63"/>
      <c r="T511" s="63"/>
      <c r="U511" s="63"/>
      <c r="V511" s="63"/>
      <c r="W511" s="63">
        <v>0.0</v>
      </c>
      <c r="X511" s="117"/>
      <c r="Y511" s="173"/>
      <c r="Z511" s="63"/>
    </row>
    <row r="512" ht="14.25" customHeight="1">
      <c r="B512" s="626"/>
      <c r="C512" s="627"/>
      <c r="D512" s="627"/>
      <c r="E512" s="70"/>
      <c r="G512" s="118" t="s">
        <v>872</v>
      </c>
      <c r="L512" s="61"/>
      <c r="M512" s="63"/>
      <c r="N512" s="63"/>
      <c r="O512" s="63"/>
      <c r="P512" s="63"/>
      <c r="Q512" s="63"/>
      <c r="R512" s="63"/>
      <c r="S512" s="63"/>
      <c r="T512" s="63"/>
      <c r="U512" s="63"/>
      <c r="V512" s="63"/>
      <c r="W512" s="63"/>
      <c r="X512" s="117"/>
      <c r="Y512" s="173"/>
      <c r="Z512" s="63"/>
    </row>
    <row r="513" ht="14.25" customHeight="1">
      <c r="B513" s="626"/>
      <c r="C513" s="627"/>
      <c r="D513" s="627"/>
      <c r="E513" s="70"/>
      <c r="G513" s="118" t="s">
        <v>873</v>
      </c>
      <c r="L513" s="61"/>
      <c r="M513" s="63"/>
      <c r="N513" s="63"/>
      <c r="O513" s="63"/>
      <c r="P513" s="63"/>
      <c r="Q513" s="63"/>
      <c r="R513" s="63"/>
      <c r="S513" s="63"/>
      <c r="T513" s="63"/>
      <c r="U513" s="63"/>
      <c r="V513" s="63"/>
      <c r="W513" s="63">
        <v>0.0</v>
      </c>
      <c r="X513" s="117"/>
      <c r="Y513" s="173"/>
      <c r="Z513" s="63"/>
    </row>
    <row r="514" ht="14.25" customHeight="1">
      <c r="B514" s="626"/>
      <c r="C514" s="627"/>
      <c r="D514" s="627"/>
      <c r="E514" s="118" t="s">
        <v>941</v>
      </c>
      <c r="F514" s="118" t="s">
        <v>1428</v>
      </c>
      <c r="L514" s="61"/>
      <c r="M514" s="63"/>
      <c r="N514" s="63"/>
      <c r="O514" s="63"/>
      <c r="P514" s="63"/>
      <c r="Q514" s="63"/>
      <c r="R514" s="63"/>
      <c r="S514" s="63"/>
      <c r="T514" s="63"/>
      <c r="U514" s="63"/>
      <c r="V514" s="63"/>
      <c r="W514" s="63"/>
      <c r="X514" s="117"/>
      <c r="Y514" s="173"/>
      <c r="Z514" s="63"/>
    </row>
    <row r="515" ht="14.25" customHeight="1">
      <c r="B515" s="624"/>
      <c r="C515" s="623" t="s">
        <v>403</v>
      </c>
      <c r="D515" s="625"/>
      <c r="F515" s="118" t="s">
        <v>1429</v>
      </c>
      <c r="L515" s="61"/>
      <c r="M515" s="63"/>
      <c r="N515" s="63"/>
      <c r="O515" s="63"/>
      <c r="P515" s="63"/>
      <c r="Q515" s="63"/>
      <c r="R515" s="63"/>
      <c r="S515" s="63"/>
      <c r="T515" s="63"/>
      <c r="U515" s="63"/>
      <c r="V515" s="63"/>
      <c r="W515" s="63">
        <v>0.0</v>
      </c>
      <c r="X515" s="117"/>
      <c r="Y515" s="173"/>
      <c r="Z515" s="63"/>
    </row>
    <row r="516" ht="14.25" customHeight="1">
      <c r="B516" s="624"/>
      <c r="C516" s="623" t="s">
        <v>403</v>
      </c>
      <c r="D516" s="625"/>
      <c r="F516" s="118" t="s">
        <v>845</v>
      </c>
      <c r="G516" s="118" t="s">
        <v>1430</v>
      </c>
      <c r="L516" s="61"/>
      <c r="M516" s="63"/>
      <c r="N516" s="63"/>
      <c r="O516" s="63"/>
      <c r="P516" s="63"/>
      <c r="Q516" s="63"/>
      <c r="R516" s="63"/>
      <c r="S516" s="63"/>
      <c r="T516" s="63"/>
      <c r="U516" s="63"/>
      <c r="V516" s="63"/>
      <c r="W516" s="63">
        <v>0.0</v>
      </c>
      <c r="X516" s="117"/>
      <c r="Y516" s="173"/>
      <c r="Z516" s="63"/>
    </row>
    <row r="517" ht="14.25" customHeight="1">
      <c r="B517" s="624"/>
      <c r="C517" s="623"/>
      <c r="D517" s="625"/>
      <c r="E517" s="592"/>
      <c r="F517" s="593" t="s">
        <v>847</v>
      </c>
      <c r="G517" s="593" t="s">
        <v>1427</v>
      </c>
      <c r="L517" s="61"/>
      <c r="M517" s="63"/>
      <c r="N517" s="63"/>
      <c r="O517" s="63"/>
      <c r="P517" s="63"/>
      <c r="Q517" s="63"/>
      <c r="R517" s="63"/>
      <c r="S517" s="63"/>
      <c r="T517" s="63"/>
      <c r="U517" s="63"/>
      <c r="V517" s="63"/>
      <c r="W517" s="63">
        <v>0.0</v>
      </c>
      <c r="X517" s="117"/>
      <c r="Y517" s="173"/>
      <c r="Z517" s="63"/>
    </row>
    <row r="518" ht="14.25" customHeight="1">
      <c r="B518" s="622"/>
      <c r="C518" s="623"/>
      <c r="D518" s="623"/>
      <c r="E518" s="592"/>
      <c r="F518" s="593" t="s">
        <v>849</v>
      </c>
      <c r="G518" s="593" t="s">
        <v>1427</v>
      </c>
      <c r="L518" s="61"/>
      <c r="M518" s="63"/>
      <c r="N518" s="63"/>
      <c r="O518" s="63"/>
      <c r="P518" s="63"/>
      <c r="Q518" s="63"/>
      <c r="R518" s="63"/>
      <c r="S518" s="63"/>
      <c r="T518" s="63"/>
      <c r="U518" s="63"/>
      <c r="V518" s="63"/>
      <c r="W518" s="63">
        <v>0.0</v>
      </c>
      <c r="X518" s="117"/>
      <c r="Y518" s="173"/>
      <c r="Z518" s="63"/>
    </row>
    <row r="519" ht="14.25" customHeight="1">
      <c r="B519" s="624" t="s">
        <v>403</v>
      </c>
      <c r="C519" s="625"/>
      <c r="D519" s="625"/>
      <c r="E519" s="592"/>
      <c r="F519" s="593"/>
      <c r="G519" s="593"/>
      <c r="L519" s="61"/>
      <c r="M519" s="63"/>
      <c r="N519" s="63"/>
      <c r="O519" s="63"/>
      <c r="P519" s="63"/>
      <c r="Q519" s="63"/>
      <c r="R519" s="63"/>
      <c r="S519" s="63"/>
      <c r="T519" s="63"/>
      <c r="U519" s="63"/>
      <c r="V519" s="63"/>
      <c r="W519" s="63"/>
      <c r="X519" s="117"/>
      <c r="Y519" s="173"/>
      <c r="Z519" s="63"/>
    </row>
    <row r="520" ht="14.25" customHeight="1">
      <c r="B520" s="622" t="s">
        <v>1431</v>
      </c>
      <c r="C520" s="623" t="s">
        <v>1432</v>
      </c>
      <c r="D520" s="623"/>
      <c r="E520" s="593" t="s">
        <v>866</v>
      </c>
      <c r="F520" s="593" t="s">
        <v>1433</v>
      </c>
      <c r="G520" s="593"/>
      <c r="L520" s="61"/>
      <c r="M520" s="63"/>
      <c r="N520" s="63"/>
      <c r="O520" s="63"/>
      <c r="P520" s="63"/>
      <c r="Q520" s="63"/>
      <c r="R520" s="63"/>
      <c r="S520" s="63"/>
      <c r="T520" s="63"/>
      <c r="U520" s="63"/>
      <c r="V520" s="63"/>
      <c r="W520" s="63">
        <v>137.0</v>
      </c>
      <c r="X520" s="117"/>
      <c r="Y520" s="173"/>
      <c r="Z520" s="63"/>
    </row>
    <row r="521" ht="14.25" customHeight="1">
      <c r="B521" s="624"/>
      <c r="C521" s="625" t="s">
        <v>945</v>
      </c>
      <c r="D521" s="623"/>
      <c r="E521" s="592"/>
      <c r="F521" s="593" t="s">
        <v>845</v>
      </c>
      <c r="G521" s="593" t="s">
        <v>946</v>
      </c>
      <c r="L521" s="61"/>
      <c r="M521" s="63"/>
      <c r="N521" s="63"/>
      <c r="O521" s="63"/>
      <c r="P521" s="63"/>
      <c r="Q521" s="63"/>
      <c r="R521" s="63"/>
      <c r="S521" s="63"/>
      <c r="T521" s="63"/>
      <c r="U521" s="63"/>
      <c r="V521" s="63"/>
      <c r="W521" s="63">
        <v>13.0</v>
      </c>
      <c r="X521" s="117"/>
      <c r="Y521" s="173"/>
      <c r="Z521" s="63"/>
    </row>
    <row r="522" ht="14.25" customHeight="1">
      <c r="B522" s="622"/>
      <c r="C522" s="623"/>
      <c r="D522" s="623"/>
      <c r="E522" s="592"/>
      <c r="F522" s="593"/>
      <c r="G522" s="593" t="s">
        <v>368</v>
      </c>
      <c r="H522" s="118" t="s">
        <v>878</v>
      </c>
      <c r="L522" s="61"/>
      <c r="M522" s="63"/>
      <c r="N522" s="63"/>
      <c r="O522" s="63"/>
      <c r="P522" s="63"/>
      <c r="Q522" s="63"/>
      <c r="R522" s="63"/>
      <c r="S522" s="63"/>
      <c r="T522" s="63"/>
      <c r="U522" s="63"/>
      <c r="V522" s="63"/>
      <c r="W522" s="63">
        <v>5.0</v>
      </c>
      <c r="X522" s="117"/>
      <c r="Y522" s="173"/>
      <c r="Z522" s="63"/>
    </row>
    <row r="523" ht="14.25" customHeight="1">
      <c r="B523" s="622"/>
      <c r="C523" s="623"/>
      <c r="D523" s="623"/>
      <c r="E523" s="593"/>
      <c r="F523" s="593"/>
      <c r="G523" s="593" t="s">
        <v>368</v>
      </c>
      <c r="H523" s="118" t="s">
        <v>879</v>
      </c>
      <c r="L523" s="61"/>
      <c r="M523" s="63"/>
      <c r="N523" s="63"/>
      <c r="O523" s="63"/>
      <c r="P523" s="63"/>
      <c r="Q523" s="63"/>
      <c r="R523" s="63"/>
      <c r="S523" s="63"/>
      <c r="T523" s="63"/>
      <c r="U523" s="63"/>
      <c r="V523" s="63"/>
      <c r="W523" s="63">
        <v>5.0</v>
      </c>
      <c r="X523" s="117"/>
      <c r="Y523" s="173"/>
      <c r="Z523" s="63"/>
    </row>
    <row r="524" ht="14.25" customHeight="1">
      <c r="B524" s="622"/>
      <c r="C524" s="623"/>
      <c r="D524" s="623"/>
      <c r="E524" s="593"/>
      <c r="F524" s="593"/>
      <c r="G524" s="593" t="s">
        <v>368</v>
      </c>
      <c r="H524" s="118" t="s">
        <v>880</v>
      </c>
      <c r="L524" s="61"/>
      <c r="M524" s="63"/>
      <c r="N524" s="63"/>
      <c r="O524" s="63"/>
      <c r="P524" s="63"/>
      <c r="Q524" s="63"/>
      <c r="R524" s="63"/>
      <c r="S524" s="63"/>
      <c r="T524" s="63"/>
      <c r="U524" s="63"/>
      <c r="V524" s="63"/>
      <c r="W524" s="63">
        <v>3.0</v>
      </c>
      <c r="X524" s="117"/>
      <c r="Y524" s="173"/>
      <c r="Z524" s="63"/>
    </row>
    <row r="525" ht="14.25" customHeight="1">
      <c r="B525" s="622"/>
      <c r="C525" s="623"/>
      <c r="D525" s="623"/>
      <c r="E525" s="593"/>
      <c r="F525" s="593" t="s">
        <v>847</v>
      </c>
      <c r="G525" s="593" t="s">
        <v>1378</v>
      </c>
      <c r="L525" s="61"/>
      <c r="M525" s="63"/>
      <c r="N525" s="63"/>
      <c r="O525" s="63"/>
      <c r="P525" s="63"/>
      <c r="Q525" s="63"/>
      <c r="R525" s="63"/>
      <c r="S525" s="63"/>
      <c r="T525" s="63"/>
      <c r="U525" s="63"/>
      <c r="V525" s="63"/>
      <c r="W525" s="63">
        <v>0.0</v>
      </c>
      <c r="X525" s="117"/>
      <c r="Y525" s="173"/>
      <c r="Z525" s="63"/>
    </row>
    <row r="526" ht="14.25" customHeight="1">
      <c r="B526" s="622"/>
      <c r="C526" s="623"/>
      <c r="D526" s="623"/>
      <c r="E526" s="593"/>
      <c r="F526" s="593"/>
      <c r="G526" s="593" t="s">
        <v>1379</v>
      </c>
      <c r="L526" s="61"/>
      <c r="M526" s="63"/>
      <c r="N526" s="63"/>
      <c r="O526" s="63"/>
      <c r="P526" s="63"/>
      <c r="Q526" s="63"/>
      <c r="R526" s="63"/>
      <c r="S526" s="63"/>
      <c r="T526" s="63"/>
      <c r="U526" s="63"/>
      <c r="V526" s="63"/>
      <c r="W526" s="63">
        <v>44.0</v>
      </c>
      <c r="X526" s="117"/>
      <c r="Y526" s="173"/>
      <c r="Z526" s="63"/>
    </row>
    <row r="527" ht="14.25" customHeight="1">
      <c r="B527" s="622"/>
      <c r="C527" s="623"/>
      <c r="D527" s="623"/>
      <c r="E527" s="593"/>
      <c r="F527" s="593" t="s">
        <v>849</v>
      </c>
      <c r="G527" s="593" t="s">
        <v>948</v>
      </c>
      <c r="L527" s="61"/>
      <c r="M527" s="63"/>
      <c r="N527" s="63"/>
      <c r="O527" s="63"/>
      <c r="P527" s="63"/>
      <c r="Q527" s="63"/>
      <c r="R527" s="63"/>
      <c r="S527" s="63"/>
      <c r="T527" s="63"/>
      <c r="U527" s="63"/>
      <c r="V527" s="63"/>
      <c r="W527" s="63">
        <v>0.0</v>
      </c>
      <c r="X527" s="117"/>
      <c r="Y527" s="173"/>
      <c r="Z527" s="63"/>
    </row>
    <row r="528" ht="14.25" customHeight="1">
      <c r="B528" s="622"/>
      <c r="C528" s="623"/>
      <c r="D528" s="623"/>
      <c r="E528" s="593"/>
      <c r="F528" s="593" t="s">
        <v>858</v>
      </c>
      <c r="G528" s="593" t="s">
        <v>949</v>
      </c>
      <c r="L528" s="61"/>
      <c r="M528" s="63"/>
      <c r="N528" s="63"/>
      <c r="O528" s="63"/>
      <c r="P528" s="63"/>
      <c r="Q528" s="63"/>
      <c r="R528" s="63"/>
      <c r="S528" s="63"/>
      <c r="T528" s="63"/>
      <c r="U528" s="63"/>
      <c r="V528" s="63"/>
      <c r="W528" s="63">
        <v>0.0</v>
      </c>
      <c r="X528" s="117"/>
      <c r="Y528" s="173"/>
      <c r="Z528" s="63"/>
    </row>
    <row r="529" ht="14.25" customHeight="1">
      <c r="B529" s="622"/>
      <c r="C529" s="623"/>
      <c r="D529" s="623"/>
      <c r="E529" s="593"/>
      <c r="F529" s="593" t="s">
        <v>860</v>
      </c>
      <c r="G529" s="593" t="s">
        <v>950</v>
      </c>
      <c r="L529" s="61"/>
      <c r="M529" s="63"/>
      <c r="N529" s="63"/>
      <c r="O529" s="63"/>
      <c r="P529" s="63"/>
      <c r="Q529" s="63"/>
      <c r="R529" s="63"/>
      <c r="S529" s="63"/>
      <c r="T529" s="63"/>
      <c r="U529" s="63"/>
      <c r="V529" s="63"/>
      <c r="W529" s="63">
        <v>0.0</v>
      </c>
      <c r="X529" s="117"/>
      <c r="Y529" s="173"/>
      <c r="Z529" s="63"/>
    </row>
    <row r="530" ht="14.25" customHeight="1">
      <c r="B530" s="622"/>
      <c r="C530" s="623"/>
      <c r="D530" s="623"/>
      <c r="E530" s="593"/>
      <c r="F530" s="593" t="s">
        <v>862</v>
      </c>
      <c r="G530" s="593" t="s">
        <v>951</v>
      </c>
      <c r="L530" s="61"/>
      <c r="M530" s="63"/>
      <c r="N530" s="63"/>
      <c r="O530" s="63"/>
      <c r="P530" s="63"/>
      <c r="Q530" s="63"/>
      <c r="R530" s="63"/>
      <c r="S530" s="63"/>
      <c r="T530" s="63"/>
      <c r="U530" s="63"/>
      <c r="V530" s="63"/>
      <c r="W530" s="63">
        <v>11.0</v>
      </c>
      <c r="X530" s="117"/>
      <c r="Y530" s="173"/>
      <c r="Z530" s="63"/>
    </row>
    <row r="531" ht="14.25" customHeight="1">
      <c r="B531" s="622"/>
      <c r="C531" s="623"/>
      <c r="D531" s="623"/>
      <c r="E531" s="593"/>
      <c r="F531" s="593" t="s">
        <v>914</v>
      </c>
      <c r="G531" s="593" t="s">
        <v>919</v>
      </c>
      <c r="L531" s="61"/>
      <c r="M531" s="63"/>
      <c r="N531" s="63"/>
      <c r="O531" s="63"/>
      <c r="P531" s="63"/>
      <c r="Q531" s="63"/>
      <c r="R531" s="63"/>
      <c r="S531" s="63"/>
      <c r="T531" s="63"/>
      <c r="U531" s="63"/>
      <c r="V531" s="63"/>
      <c r="W531" s="63">
        <v>69.0</v>
      </c>
      <c r="X531" s="117"/>
      <c r="Y531" s="173"/>
      <c r="Z531" s="63"/>
    </row>
    <row r="532" ht="14.25" customHeight="1">
      <c r="B532" s="622"/>
      <c r="C532" s="623"/>
      <c r="D532" s="623"/>
      <c r="E532" s="593"/>
      <c r="F532" s="593"/>
      <c r="G532" s="593" t="s">
        <v>1434</v>
      </c>
      <c r="L532" s="61"/>
      <c r="M532" s="63"/>
      <c r="N532" s="63"/>
      <c r="O532" s="63"/>
      <c r="P532" s="63"/>
      <c r="Q532" s="63"/>
      <c r="R532" s="63"/>
      <c r="S532" s="63"/>
      <c r="T532" s="63"/>
      <c r="U532" s="63"/>
      <c r="V532" s="63"/>
      <c r="W532" s="63">
        <v>46.0</v>
      </c>
      <c r="X532" s="117"/>
      <c r="Y532" s="173"/>
      <c r="Z532" s="63"/>
    </row>
    <row r="533" ht="14.25" customHeight="1">
      <c r="B533" s="622"/>
      <c r="C533" s="623"/>
      <c r="D533" s="623"/>
      <c r="E533" s="593"/>
      <c r="F533" s="593"/>
      <c r="G533" s="593" t="s">
        <v>1435</v>
      </c>
      <c r="L533" s="61"/>
      <c r="M533" s="63"/>
      <c r="N533" s="63"/>
      <c r="O533" s="63"/>
      <c r="P533" s="63"/>
      <c r="Q533" s="63"/>
      <c r="R533" s="63"/>
      <c r="S533" s="63"/>
      <c r="T533" s="63"/>
      <c r="U533" s="63"/>
      <c r="V533" s="63"/>
      <c r="W533" s="63">
        <v>23.0</v>
      </c>
      <c r="X533" s="117"/>
      <c r="Y533" s="173"/>
      <c r="Z533" s="63"/>
    </row>
    <row r="534" ht="14.25" customHeight="1">
      <c r="B534" s="622"/>
      <c r="C534" s="623"/>
      <c r="D534" s="623"/>
      <c r="E534" s="593"/>
      <c r="F534" s="593"/>
      <c r="G534" s="593"/>
      <c r="L534" s="61"/>
      <c r="M534" s="63"/>
      <c r="N534" s="63"/>
      <c r="O534" s="63"/>
      <c r="P534" s="63"/>
      <c r="Q534" s="63"/>
      <c r="R534" s="63"/>
      <c r="S534" s="63"/>
      <c r="T534" s="63"/>
      <c r="U534" s="63"/>
      <c r="V534" s="63"/>
      <c r="W534" s="63">
        <v>0.0</v>
      </c>
      <c r="X534" s="117"/>
      <c r="Y534" s="173"/>
      <c r="Z534" s="63"/>
    </row>
    <row r="535" ht="14.25" customHeight="1">
      <c r="B535" s="624"/>
      <c r="C535" s="625"/>
      <c r="D535" s="625"/>
      <c r="E535" s="595" t="s">
        <v>906</v>
      </c>
      <c r="F535" s="593" t="s">
        <v>1436</v>
      </c>
      <c r="G535" s="593"/>
      <c r="L535" s="61"/>
      <c r="M535" s="63"/>
      <c r="N535" s="63"/>
      <c r="O535" s="63"/>
      <c r="P535" s="63"/>
      <c r="Q535" s="63"/>
      <c r="R535" s="63"/>
      <c r="S535" s="63"/>
      <c r="T535" s="63"/>
      <c r="U535" s="63"/>
      <c r="V535" s="63"/>
      <c r="W535" s="63">
        <v>248.0</v>
      </c>
      <c r="X535" s="117"/>
      <c r="Y535" s="173"/>
      <c r="Z535" s="63"/>
    </row>
    <row r="536" ht="14.25" customHeight="1">
      <c r="B536" s="624"/>
      <c r="C536" s="625"/>
      <c r="D536" s="625"/>
      <c r="E536" s="593"/>
      <c r="F536" s="593" t="s">
        <v>845</v>
      </c>
      <c r="G536" s="593" t="s">
        <v>915</v>
      </c>
      <c r="L536" s="61"/>
      <c r="M536" s="63"/>
      <c r="N536" s="63"/>
      <c r="O536" s="63"/>
      <c r="P536" s="63"/>
      <c r="Q536" s="63"/>
      <c r="R536" s="63"/>
      <c r="S536" s="63"/>
      <c r="T536" s="63"/>
      <c r="U536" s="63"/>
      <c r="V536" s="63"/>
      <c r="W536" s="63">
        <v>152.0</v>
      </c>
      <c r="X536" s="117"/>
      <c r="Y536" s="173"/>
      <c r="Z536" s="63"/>
    </row>
    <row r="537" ht="14.25" customHeight="1">
      <c r="B537" s="624"/>
      <c r="C537" s="625"/>
      <c r="D537" s="625"/>
      <c r="E537" s="593"/>
      <c r="F537" s="593" t="s">
        <v>847</v>
      </c>
      <c r="G537" s="593" t="s">
        <v>912</v>
      </c>
      <c r="L537" s="61"/>
      <c r="M537" s="63"/>
      <c r="N537" s="63"/>
      <c r="O537" s="63"/>
      <c r="P537" s="63"/>
      <c r="Q537" s="63"/>
      <c r="R537" s="63"/>
      <c r="S537" s="63"/>
      <c r="T537" s="63"/>
      <c r="U537" s="63"/>
      <c r="V537" s="63"/>
      <c r="W537" s="63">
        <v>15.0</v>
      </c>
      <c r="X537" s="117"/>
      <c r="Y537" s="173"/>
      <c r="Z537" s="63"/>
    </row>
    <row r="538" ht="14.25" customHeight="1">
      <c r="B538" s="624"/>
      <c r="C538" s="625"/>
      <c r="D538" s="625"/>
      <c r="E538" s="592"/>
      <c r="F538" s="593" t="s">
        <v>849</v>
      </c>
      <c r="G538" s="593" t="s">
        <v>958</v>
      </c>
      <c r="L538" s="61"/>
      <c r="M538" s="63"/>
      <c r="N538" s="63"/>
      <c r="O538" s="63"/>
      <c r="P538" s="63"/>
      <c r="Q538" s="63"/>
      <c r="R538" s="63"/>
      <c r="S538" s="63"/>
      <c r="T538" s="63"/>
      <c r="U538" s="63"/>
      <c r="V538" s="63"/>
      <c r="W538" s="63">
        <v>0.0</v>
      </c>
      <c r="X538" s="117"/>
      <c r="Y538" s="173"/>
      <c r="Z538" s="63"/>
    </row>
    <row r="539" ht="14.25" customHeight="1">
      <c r="B539" s="624"/>
      <c r="C539" s="625"/>
      <c r="D539" s="625"/>
      <c r="E539" s="592"/>
      <c r="F539" s="593" t="s">
        <v>858</v>
      </c>
      <c r="G539" s="593" t="s">
        <v>959</v>
      </c>
      <c r="L539" s="61"/>
      <c r="M539" s="63"/>
      <c r="N539" s="63"/>
      <c r="O539" s="63"/>
      <c r="P539" s="63"/>
      <c r="Q539" s="63"/>
      <c r="R539" s="63"/>
      <c r="S539" s="63"/>
      <c r="T539" s="63"/>
      <c r="U539" s="63"/>
      <c r="V539" s="63"/>
      <c r="W539" s="63">
        <v>14.0</v>
      </c>
      <c r="X539" s="117"/>
      <c r="Y539" s="173"/>
      <c r="Z539" s="63"/>
    </row>
    <row r="540" ht="14.25" customHeight="1">
      <c r="B540" s="624"/>
      <c r="C540" s="625"/>
      <c r="D540" s="625"/>
      <c r="E540" s="593"/>
      <c r="F540" s="593" t="s">
        <v>860</v>
      </c>
      <c r="G540" s="593" t="s">
        <v>1411</v>
      </c>
      <c r="L540" s="61"/>
      <c r="M540" s="63"/>
      <c r="N540" s="63"/>
      <c r="O540" s="63"/>
      <c r="P540" s="63"/>
      <c r="Q540" s="63"/>
      <c r="R540" s="63"/>
      <c r="S540" s="63"/>
      <c r="T540" s="63"/>
      <c r="U540" s="63"/>
      <c r="V540" s="63"/>
      <c r="W540" s="63">
        <v>27.0</v>
      </c>
      <c r="X540" s="117"/>
      <c r="Y540" s="173"/>
      <c r="Z540" s="63"/>
    </row>
    <row r="541" ht="14.25" customHeight="1">
      <c r="B541" s="624"/>
      <c r="C541" s="625"/>
      <c r="D541" s="625"/>
      <c r="E541" s="593"/>
      <c r="F541" s="593" t="s">
        <v>862</v>
      </c>
      <c r="G541" s="593" t="s">
        <v>961</v>
      </c>
      <c r="L541" s="61"/>
      <c r="M541" s="63"/>
      <c r="N541" s="63"/>
      <c r="O541" s="63"/>
      <c r="P541" s="63"/>
      <c r="Q541" s="63"/>
      <c r="R541" s="63"/>
      <c r="S541" s="63"/>
      <c r="T541" s="63"/>
      <c r="U541" s="63"/>
      <c r="V541" s="63"/>
      <c r="W541" s="63">
        <v>40.0</v>
      </c>
      <c r="X541" s="117"/>
      <c r="Y541" s="173"/>
      <c r="Z541" s="63"/>
    </row>
    <row r="542" ht="15.75" customHeight="1">
      <c r="B542" s="624"/>
      <c r="C542" s="625"/>
      <c r="D542" s="625"/>
      <c r="E542" s="597"/>
      <c r="F542" s="593" t="s">
        <v>914</v>
      </c>
      <c r="G542" s="593" t="s">
        <v>963</v>
      </c>
      <c r="L542" s="61"/>
      <c r="M542" s="63"/>
      <c r="N542" s="63"/>
      <c r="O542" s="63"/>
      <c r="P542" s="63"/>
      <c r="Q542" s="63"/>
      <c r="R542" s="63"/>
      <c r="S542" s="63"/>
      <c r="T542" s="63"/>
      <c r="U542" s="63"/>
      <c r="V542" s="63"/>
      <c r="W542" s="63">
        <v>0.0</v>
      </c>
      <c r="X542" s="117"/>
      <c r="Y542" s="173"/>
      <c r="Z542" s="63"/>
    </row>
    <row r="543" ht="14.25" customHeight="1">
      <c r="B543" s="624"/>
      <c r="C543" s="625"/>
      <c r="D543" s="625"/>
      <c r="E543" s="597"/>
      <c r="F543" s="597"/>
      <c r="G543" s="593" t="s">
        <v>1437</v>
      </c>
      <c r="L543" s="61"/>
      <c r="M543" s="63"/>
      <c r="N543" s="63"/>
      <c r="O543" s="63"/>
      <c r="P543" s="63"/>
      <c r="Q543" s="63"/>
      <c r="R543" s="63"/>
      <c r="S543" s="63"/>
      <c r="T543" s="63"/>
      <c r="U543" s="63"/>
      <c r="V543" s="63"/>
      <c r="W543" s="63">
        <v>0.0</v>
      </c>
      <c r="X543" s="117"/>
      <c r="Y543" s="173"/>
      <c r="Z543" s="63"/>
    </row>
    <row r="544" ht="14.25" customHeight="1">
      <c r="B544" s="624"/>
      <c r="C544" s="625"/>
      <c r="D544" s="625"/>
      <c r="E544" s="592"/>
      <c r="F544" s="593"/>
      <c r="G544" s="593" t="s">
        <v>1437</v>
      </c>
      <c r="L544" s="61"/>
      <c r="M544" s="63"/>
      <c r="N544" s="63"/>
      <c r="O544" s="63"/>
      <c r="P544" s="63"/>
      <c r="Q544" s="63"/>
      <c r="R544" s="63"/>
      <c r="S544" s="63"/>
      <c r="T544" s="63"/>
      <c r="U544" s="63"/>
      <c r="V544" s="63"/>
      <c r="W544" s="63">
        <v>0.0</v>
      </c>
      <c r="X544" s="117"/>
      <c r="Y544" s="173"/>
      <c r="Z544" s="63"/>
    </row>
    <row r="545" ht="14.25" customHeight="1">
      <c r="B545" s="624"/>
      <c r="C545" s="625"/>
      <c r="D545" s="625"/>
      <c r="E545" s="597"/>
      <c r="F545" s="597"/>
      <c r="G545" s="593" t="s">
        <v>1437</v>
      </c>
      <c r="L545" s="61"/>
      <c r="M545" s="63"/>
      <c r="N545" s="63"/>
      <c r="O545" s="63"/>
      <c r="P545" s="63"/>
      <c r="Q545" s="63"/>
      <c r="R545" s="63"/>
      <c r="S545" s="63"/>
      <c r="T545" s="63"/>
      <c r="U545" s="63"/>
      <c r="V545" s="63"/>
      <c r="W545" s="63">
        <v>0.0</v>
      </c>
      <c r="X545" s="117"/>
      <c r="Y545" s="173"/>
      <c r="Z545" s="63"/>
    </row>
    <row r="546" ht="14.25" customHeight="1">
      <c r="B546" s="624"/>
      <c r="C546" s="625"/>
      <c r="D546" s="625"/>
      <c r="E546" s="593"/>
      <c r="F546" s="593"/>
      <c r="G546" s="593"/>
      <c r="L546" s="61"/>
      <c r="M546" s="63"/>
      <c r="N546" s="63"/>
      <c r="O546" s="63"/>
      <c r="P546" s="63"/>
      <c r="Q546" s="63"/>
      <c r="R546" s="63"/>
      <c r="S546" s="63"/>
      <c r="T546" s="63"/>
      <c r="U546" s="63"/>
      <c r="V546" s="63"/>
      <c r="W546" s="63"/>
      <c r="X546" s="117"/>
      <c r="Y546" s="173"/>
      <c r="Z546" s="63"/>
    </row>
    <row r="547" ht="14.25" customHeight="1">
      <c r="B547" s="622" t="s">
        <v>1438</v>
      </c>
      <c r="C547" s="623" t="s">
        <v>1439</v>
      </c>
      <c r="D547" s="625"/>
      <c r="E547" s="592" t="s">
        <v>1440</v>
      </c>
      <c r="F547" s="593"/>
      <c r="G547" s="593"/>
      <c r="L547" s="61"/>
      <c r="M547" s="63"/>
      <c r="N547" s="63"/>
      <c r="O547" s="63"/>
      <c r="P547" s="63"/>
      <c r="Q547" s="63"/>
      <c r="R547" s="63"/>
      <c r="S547" s="63"/>
      <c r="T547" s="63"/>
      <c r="U547" s="63"/>
      <c r="V547" s="63"/>
      <c r="W547" s="63">
        <v>67.0</v>
      </c>
      <c r="X547" s="117"/>
      <c r="Y547" s="173"/>
      <c r="Z547" s="63"/>
    </row>
    <row r="548" ht="14.25" customHeight="1">
      <c r="B548" s="624"/>
      <c r="C548" s="632" t="s">
        <v>866</v>
      </c>
      <c r="D548" s="625" t="s">
        <v>1441</v>
      </c>
      <c r="E548" s="592" t="s">
        <v>866</v>
      </c>
      <c r="F548" s="593" t="s">
        <v>1442</v>
      </c>
      <c r="G548" s="593"/>
      <c r="L548" s="61"/>
      <c r="M548" s="63"/>
      <c r="N548" s="63"/>
      <c r="O548" s="63"/>
      <c r="P548" s="63"/>
      <c r="Q548" s="63"/>
      <c r="R548" s="63"/>
      <c r="S548" s="63"/>
      <c r="T548" s="63"/>
      <c r="U548" s="63"/>
      <c r="V548" s="63"/>
      <c r="W548" s="63">
        <v>63.0</v>
      </c>
      <c r="X548" s="117"/>
      <c r="Y548" s="173"/>
      <c r="Z548" s="63"/>
    </row>
    <row r="549" ht="14.25" customHeight="1">
      <c r="B549" s="624"/>
      <c r="C549" s="625"/>
      <c r="D549" s="625"/>
      <c r="E549" s="592"/>
      <c r="F549" s="595" t="s">
        <v>845</v>
      </c>
      <c r="G549" s="595" t="s">
        <v>1443</v>
      </c>
      <c r="L549" s="61"/>
      <c r="M549" s="63"/>
      <c r="N549" s="63"/>
      <c r="O549" s="63"/>
      <c r="P549" s="63"/>
      <c r="Q549" s="63"/>
      <c r="R549" s="63"/>
      <c r="S549" s="63"/>
      <c r="T549" s="63"/>
      <c r="U549" s="63"/>
      <c r="V549" s="63"/>
      <c r="W549" s="63">
        <v>0.0</v>
      </c>
      <c r="X549" s="117"/>
      <c r="Y549" s="173"/>
      <c r="Z549" s="63"/>
    </row>
    <row r="550" ht="15.75" customHeight="1">
      <c r="B550" s="624"/>
      <c r="C550" s="625"/>
      <c r="D550" s="625"/>
      <c r="E550" s="633"/>
      <c r="F550" s="595" t="s">
        <v>847</v>
      </c>
      <c r="G550" s="595" t="s">
        <v>1444</v>
      </c>
      <c r="L550" s="61"/>
      <c r="M550" s="210"/>
      <c r="N550" s="210"/>
      <c r="O550" s="210"/>
      <c r="P550" s="210"/>
      <c r="Q550" s="210"/>
      <c r="R550" s="210"/>
      <c r="S550" s="210"/>
      <c r="T550" s="210"/>
      <c r="U550" s="210"/>
      <c r="V550" s="210"/>
      <c r="W550" s="210">
        <v>63.0</v>
      </c>
      <c r="X550" s="634"/>
      <c r="Y550" s="635"/>
      <c r="Z550" s="210"/>
    </row>
    <row r="551" ht="14.25" customHeight="1">
      <c r="B551" s="624"/>
      <c r="C551" s="625"/>
      <c r="D551" s="625"/>
      <c r="G551" s="118" t="s">
        <v>368</v>
      </c>
      <c r="H551" s="118" t="s">
        <v>974</v>
      </c>
      <c r="L551" s="61"/>
      <c r="M551" s="63"/>
      <c r="N551" s="63"/>
      <c r="O551" s="63"/>
      <c r="P551" s="63"/>
      <c r="Q551" s="63"/>
      <c r="R551" s="63"/>
      <c r="S551" s="63"/>
      <c r="T551" s="63"/>
      <c r="U551" s="63"/>
      <c r="V551" s="63"/>
      <c r="W551" s="636">
        <v>53.0</v>
      </c>
      <c r="X551" s="634"/>
      <c r="Y551" s="635"/>
      <c r="Z551" s="65"/>
    </row>
    <row r="552" ht="14.25" customHeight="1">
      <c r="B552" s="624"/>
      <c r="C552" s="625"/>
      <c r="D552" s="625"/>
      <c r="H552" s="118" t="s">
        <v>1445</v>
      </c>
      <c r="I552" s="118" t="s">
        <v>934</v>
      </c>
      <c r="L552" s="61"/>
      <c r="M552" s="63"/>
      <c r="N552" s="63"/>
      <c r="O552" s="63"/>
      <c r="P552" s="63"/>
      <c r="Q552" s="63"/>
      <c r="R552" s="63"/>
      <c r="S552" s="63"/>
      <c r="T552" s="63"/>
      <c r="U552" s="63"/>
      <c r="V552" s="63"/>
      <c r="W552" s="636">
        <v>14.0</v>
      </c>
      <c r="X552" s="634"/>
      <c r="Y552" s="635"/>
      <c r="Z552" s="65"/>
    </row>
    <row r="553" ht="14.25" customHeight="1">
      <c r="B553" s="624"/>
      <c r="C553" s="625"/>
      <c r="D553" s="625"/>
      <c r="H553" s="118" t="s">
        <v>1446</v>
      </c>
      <c r="I553" s="118" t="s">
        <v>935</v>
      </c>
      <c r="L553" s="61"/>
      <c r="M553" s="63"/>
      <c r="N553" s="63"/>
      <c r="O553" s="63"/>
      <c r="P553" s="63"/>
      <c r="Q553" s="63"/>
      <c r="R553" s="63"/>
      <c r="S553" s="63"/>
      <c r="T553" s="63"/>
      <c r="U553" s="63"/>
      <c r="V553" s="63"/>
      <c r="W553" s="636">
        <v>39.0</v>
      </c>
      <c r="X553" s="634"/>
      <c r="Y553" s="635"/>
      <c r="Z553" s="65"/>
    </row>
    <row r="554" ht="14.25" customHeight="1">
      <c r="B554" s="624"/>
      <c r="C554" s="625"/>
      <c r="D554" s="625"/>
      <c r="G554" s="118" t="s">
        <v>368</v>
      </c>
      <c r="H554" s="118" t="s">
        <v>977</v>
      </c>
      <c r="L554" s="61"/>
      <c r="M554" s="63"/>
      <c r="N554" s="63"/>
      <c r="O554" s="63"/>
      <c r="P554" s="63"/>
      <c r="Q554" s="63"/>
      <c r="R554" s="63"/>
      <c r="S554" s="63"/>
      <c r="T554" s="63"/>
      <c r="U554" s="63"/>
      <c r="V554" s="63"/>
      <c r="W554" s="636">
        <v>10.0</v>
      </c>
      <c r="X554" s="634"/>
      <c r="Y554" s="635"/>
      <c r="Z554" s="65"/>
    </row>
    <row r="555" ht="14.25" customHeight="1">
      <c r="B555" s="624"/>
      <c r="C555" s="632" t="s">
        <v>906</v>
      </c>
      <c r="D555" s="625" t="s">
        <v>1447</v>
      </c>
      <c r="E555" s="118" t="s">
        <v>906</v>
      </c>
      <c r="F555" s="118" t="s">
        <v>1448</v>
      </c>
      <c r="L555" s="61"/>
      <c r="M555" s="63"/>
      <c r="N555" s="63"/>
      <c r="O555" s="63"/>
      <c r="P555" s="63"/>
      <c r="Q555" s="63"/>
      <c r="R555" s="63"/>
      <c r="S555" s="63"/>
      <c r="T555" s="63"/>
      <c r="U555" s="63"/>
      <c r="V555" s="63"/>
      <c r="W555" s="636">
        <v>4.0</v>
      </c>
      <c r="X555" s="634"/>
      <c r="Y555" s="635"/>
      <c r="Z555" s="65"/>
    </row>
    <row r="556" ht="14.25" customHeight="1">
      <c r="B556" s="624"/>
      <c r="C556" s="625"/>
      <c r="D556" s="625"/>
      <c r="F556" s="118" t="s">
        <v>845</v>
      </c>
      <c r="G556" s="118" t="s">
        <v>1443</v>
      </c>
      <c r="L556" s="61"/>
      <c r="M556" s="63"/>
      <c r="N556" s="63"/>
      <c r="O556" s="63"/>
      <c r="P556" s="63"/>
      <c r="Q556" s="63"/>
      <c r="R556" s="63"/>
      <c r="S556" s="63"/>
      <c r="T556" s="63"/>
      <c r="U556" s="63"/>
      <c r="V556" s="63"/>
      <c r="W556" s="636">
        <v>2.0</v>
      </c>
      <c r="X556" s="634"/>
      <c r="Y556" s="635"/>
      <c r="Z556" s="65"/>
    </row>
    <row r="557" ht="14.25" customHeight="1">
      <c r="B557" s="624"/>
      <c r="C557" s="625"/>
      <c r="D557" s="625"/>
      <c r="F557" s="118" t="s">
        <v>847</v>
      </c>
      <c r="G557" s="118" t="s">
        <v>1449</v>
      </c>
      <c r="L557" s="61"/>
      <c r="M557" s="63"/>
      <c r="N557" s="63"/>
      <c r="O557" s="63"/>
      <c r="P557" s="63"/>
      <c r="Q557" s="63"/>
      <c r="R557" s="63"/>
      <c r="S557" s="63"/>
      <c r="T557" s="63"/>
      <c r="U557" s="63"/>
      <c r="V557" s="63"/>
      <c r="W557" s="636">
        <v>2.0</v>
      </c>
      <c r="X557" s="634"/>
      <c r="Y557" s="635"/>
      <c r="Z557" s="65"/>
    </row>
    <row r="558" ht="14.25" customHeight="1">
      <c r="B558" s="624"/>
      <c r="C558" s="625"/>
      <c r="D558" s="625"/>
      <c r="F558" s="118" t="s">
        <v>849</v>
      </c>
      <c r="G558" s="118" t="s">
        <v>1450</v>
      </c>
      <c r="L558" s="61"/>
      <c r="M558" s="63"/>
      <c r="N558" s="63"/>
      <c r="O558" s="63"/>
      <c r="P558" s="63"/>
      <c r="Q558" s="63"/>
      <c r="R558" s="63"/>
      <c r="S558" s="63"/>
      <c r="T558" s="63"/>
      <c r="U558" s="63"/>
      <c r="V558" s="63"/>
      <c r="W558" s="636">
        <v>0.0</v>
      </c>
      <c r="X558" s="634"/>
      <c r="Y558" s="635"/>
      <c r="Z558" s="65"/>
    </row>
    <row r="559" ht="14.25" customHeight="1">
      <c r="B559" s="624"/>
      <c r="C559" s="632" t="s">
        <v>924</v>
      </c>
      <c r="D559" s="625" t="s">
        <v>1451</v>
      </c>
      <c r="E559" s="118" t="s">
        <v>924</v>
      </c>
      <c r="F559" s="118" t="s">
        <v>1452</v>
      </c>
      <c r="L559" s="61"/>
      <c r="M559" s="63"/>
      <c r="N559" s="63"/>
      <c r="O559" s="63"/>
      <c r="P559" s="63"/>
      <c r="Q559" s="63"/>
      <c r="R559" s="63"/>
      <c r="S559" s="63"/>
      <c r="T559" s="63"/>
      <c r="U559" s="63"/>
      <c r="V559" s="63"/>
      <c r="W559" s="636"/>
      <c r="X559" s="634"/>
      <c r="Y559" s="635"/>
      <c r="Z559" s="65"/>
    </row>
    <row r="560" ht="14.25" customHeight="1">
      <c r="B560" s="624"/>
      <c r="C560" s="625"/>
      <c r="D560" s="625"/>
      <c r="F560" s="118" t="s">
        <v>1453</v>
      </c>
      <c r="L560" s="61"/>
      <c r="M560" s="63"/>
      <c r="N560" s="63"/>
      <c r="O560" s="63"/>
      <c r="P560" s="63"/>
      <c r="Q560" s="63"/>
      <c r="R560" s="63"/>
      <c r="S560" s="63"/>
      <c r="T560" s="63"/>
      <c r="U560" s="63"/>
      <c r="V560" s="63"/>
      <c r="W560" s="636"/>
      <c r="X560" s="634"/>
      <c r="Y560" s="635"/>
      <c r="Z560" s="65"/>
    </row>
    <row r="561" ht="14.25" customHeight="1">
      <c r="B561" s="624"/>
      <c r="C561" s="625"/>
      <c r="D561" s="625"/>
      <c r="F561" s="118" t="s">
        <v>1454</v>
      </c>
      <c r="L561" s="61"/>
      <c r="M561" s="63"/>
      <c r="N561" s="63"/>
      <c r="O561" s="63"/>
      <c r="P561" s="63"/>
      <c r="Q561" s="63"/>
      <c r="R561" s="63"/>
      <c r="S561" s="63"/>
      <c r="T561" s="63"/>
      <c r="U561" s="63"/>
      <c r="V561" s="63"/>
      <c r="W561" s="636">
        <v>0.0</v>
      </c>
      <c r="X561" s="634"/>
      <c r="Y561" s="635"/>
      <c r="Z561" s="65"/>
    </row>
    <row r="562" ht="14.25" customHeight="1">
      <c r="B562" s="624"/>
      <c r="C562" s="625"/>
      <c r="D562" s="625"/>
      <c r="F562" s="118" t="s">
        <v>1455</v>
      </c>
      <c r="G562" s="118" t="s">
        <v>1456</v>
      </c>
      <c r="L562" s="61"/>
      <c r="M562" s="63"/>
      <c r="N562" s="63"/>
      <c r="O562" s="63"/>
      <c r="P562" s="63"/>
      <c r="Q562" s="63"/>
      <c r="R562" s="63"/>
      <c r="S562" s="63"/>
      <c r="T562" s="63"/>
      <c r="U562" s="63"/>
      <c r="V562" s="63"/>
      <c r="W562" s="636">
        <v>1666.0</v>
      </c>
      <c r="X562" s="634"/>
      <c r="Y562" s="635"/>
      <c r="Z562" s="65"/>
    </row>
    <row r="563" ht="14.25" customHeight="1">
      <c r="B563" s="624"/>
      <c r="C563" s="625"/>
      <c r="D563" s="625"/>
      <c r="G563" s="118" t="s">
        <v>845</v>
      </c>
      <c r="H563" s="118" t="s">
        <v>1457</v>
      </c>
      <c r="L563" s="61"/>
      <c r="M563" s="63"/>
      <c r="N563" s="63"/>
      <c r="O563" s="63"/>
      <c r="P563" s="63"/>
      <c r="Q563" s="63"/>
      <c r="R563" s="63"/>
      <c r="S563" s="63"/>
      <c r="T563" s="63"/>
      <c r="U563" s="63"/>
      <c r="V563" s="63"/>
      <c r="W563" s="636">
        <v>0.0</v>
      </c>
      <c r="X563" s="634"/>
      <c r="Y563" s="635"/>
      <c r="Z563" s="65"/>
    </row>
    <row r="564" ht="14.25" customHeight="1">
      <c r="B564" s="624"/>
      <c r="C564" s="625"/>
      <c r="D564" s="625" t="s">
        <v>403</v>
      </c>
      <c r="G564" s="118" t="s">
        <v>847</v>
      </c>
      <c r="H564" s="118" t="s">
        <v>1458</v>
      </c>
      <c r="L564" s="61"/>
      <c r="M564" s="63"/>
      <c r="N564" s="63"/>
      <c r="O564" s="63"/>
      <c r="P564" s="63"/>
      <c r="Q564" s="63"/>
      <c r="R564" s="63"/>
      <c r="S564" s="63"/>
      <c r="T564" s="63"/>
      <c r="U564" s="63"/>
      <c r="V564" s="63"/>
      <c r="W564" s="636">
        <v>620.0</v>
      </c>
      <c r="X564" s="634"/>
      <c r="Y564" s="635"/>
      <c r="Z564" s="65"/>
    </row>
    <row r="565" ht="14.25" customHeight="1">
      <c r="B565" s="624"/>
      <c r="C565" s="625"/>
      <c r="D565" s="625" t="s">
        <v>403</v>
      </c>
      <c r="G565" s="118" t="s">
        <v>849</v>
      </c>
      <c r="H565" s="118" t="s">
        <v>1459</v>
      </c>
      <c r="L565" s="61"/>
      <c r="M565" s="63"/>
      <c r="N565" s="63"/>
      <c r="O565" s="63"/>
      <c r="P565" s="63"/>
      <c r="Q565" s="63"/>
      <c r="R565" s="63"/>
      <c r="S565" s="63"/>
      <c r="T565" s="63"/>
      <c r="U565" s="63"/>
      <c r="V565" s="63"/>
      <c r="W565" s="636">
        <v>0.0</v>
      </c>
      <c r="X565" s="634"/>
      <c r="Y565" s="635"/>
      <c r="Z565" s="65"/>
    </row>
    <row r="566" ht="14.25" customHeight="1">
      <c r="B566" s="624"/>
      <c r="C566" s="625"/>
      <c r="D566" s="625"/>
      <c r="G566" s="118" t="s">
        <v>858</v>
      </c>
      <c r="H566" s="118" t="s">
        <v>1460</v>
      </c>
      <c r="L566" s="61"/>
      <c r="M566" s="63"/>
      <c r="N566" s="63"/>
      <c r="O566" s="63"/>
      <c r="P566" s="63"/>
      <c r="Q566" s="63"/>
      <c r="R566" s="63"/>
      <c r="S566" s="63"/>
      <c r="T566" s="63"/>
      <c r="U566" s="63"/>
      <c r="V566" s="63"/>
      <c r="W566" s="636">
        <v>0.0</v>
      </c>
      <c r="X566" s="634"/>
      <c r="Y566" s="635"/>
      <c r="Z566" s="65"/>
    </row>
    <row r="567" ht="14.25" customHeight="1">
      <c r="B567" s="624" t="s">
        <v>403</v>
      </c>
      <c r="C567" s="625"/>
      <c r="D567" s="625"/>
      <c r="G567" s="118" t="s">
        <v>860</v>
      </c>
      <c r="H567" s="118" t="s">
        <v>1461</v>
      </c>
      <c r="L567" s="61"/>
      <c r="M567" s="63"/>
      <c r="N567" s="63"/>
      <c r="O567" s="63"/>
      <c r="P567" s="63"/>
      <c r="Q567" s="63"/>
      <c r="R567" s="63"/>
      <c r="S567" s="63"/>
      <c r="T567" s="63"/>
      <c r="U567" s="63"/>
      <c r="V567" s="63"/>
      <c r="W567" s="636">
        <v>0.0</v>
      </c>
      <c r="X567" s="634"/>
      <c r="Y567" s="635"/>
      <c r="Z567" s="65"/>
    </row>
    <row r="568" ht="14.25" customHeight="1">
      <c r="B568" s="624"/>
      <c r="C568" s="625"/>
      <c r="D568" s="625"/>
      <c r="G568" s="118" t="s">
        <v>862</v>
      </c>
      <c r="H568" s="118" t="s">
        <v>1462</v>
      </c>
      <c r="L568" s="61"/>
      <c r="M568" s="63"/>
      <c r="N568" s="63"/>
      <c r="O568" s="63"/>
      <c r="P568" s="63"/>
      <c r="Q568" s="63"/>
      <c r="R568" s="63"/>
      <c r="S568" s="63"/>
      <c r="T568" s="63"/>
      <c r="U568" s="63"/>
      <c r="V568" s="63"/>
      <c r="W568" s="636">
        <v>1046.0</v>
      </c>
      <c r="X568" s="634"/>
      <c r="Y568" s="635"/>
      <c r="Z568" s="65"/>
    </row>
    <row r="569" ht="14.25" customHeight="1">
      <c r="B569" s="624"/>
      <c r="C569" s="625"/>
      <c r="D569" s="625"/>
      <c r="F569" s="118" t="s">
        <v>1463</v>
      </c>
      <c r="G569" s="118" t="s">
        <v>1464</v>
      </c>
      <c r="L569" s="61"/>
      <c r="M569" s="63"/>
      <c r="N569" s="63"/>
      <c r="O569" s="63"/>
      <c r="P569" s="63"/>
      <c r="Q569" s="63"/>
      <c r="R569" s="63"/>
      <c r="S569" s="63"/>
      <c r="T569" s="63"/>
      <c r="U569" s="63"/>
      <c r="V569" s="63"/>
      <c r="W569" s="636">
        <v>0.0</v>
      </c>
      <c r="X569" s="634"/>
      <c r="Y569" s="635"/>
      <c r="Z569" s="65"/>
    </row>
    <row r="570" ht="14.25" customHeight="1">
      <c r="B570" s="624"/>
      <c r="C570" s="632" t="s">
        <v>1465</v>
      </c>
      <c r="D570" s="625" t="s">
        <v>1466</v>
      </c>
      <c r="E570" s="118" t="s">
        <v>926</v>
      </c>
      <c r="F570" s="118" t="s">
        <v>1467</v>
      </c>
      <c r="L570" s="61"/>
      <c r="M570" s="63"/>
      <c r="N570" s="63"/>
      <c r="O570" s="63"/>
      <c r="P570" s="63"/>
      <c r="Q570" s="63"/>
      <c r="R570" s="63"/>
      <c r="S570" s="63"/>
      <c r="T570" s="63"/>
      <c r="U570" s="63"/>
      <c r="V570" s="63"/>
      <c r="W570" s="636">
        <v>0.0</v>
      </c>
      <c r="X570" s="634"/>
      <c r="Y570" s="635"/>
      <c r="Z570" s="65"/>
    </row>
    <row r="571" ht="14.25" customHeight="1">
      <c r="B571" s="624"/>
      <c r="C571" s="625"/>
      <c r="D571" s="625" t="s">
        <v>1468</v>
      </c>
      <c r="F571" s="118" t="s">
        <v>1299</v>
      </c>
      <c r="G571" s="118" t="s">
        <v>1456</v>
      </c>
      <c r="L571" s="61"/>
      <c r="M571" s="63"/>
      <c r="N571" s="63"/>
      <c r="O571" s="63"/>
      <c r="P571" s="63"/>
      <c r="Q571" s="63"/>
      <c r="R571" s="63"/>
      <c r="S571" s="63"/>
      <c r="T571" s="63"/>
      <c r="U571" s="63"/>
      <c r="V571" s="63"/>
      <c r="W571" s="636">
        <v>791.0</v>
      </c>
      <c r="X571" s="634"/>
      <c r="Y571" s="635"/>
      <c r="Z571" s="65"/>
    </row>
    <row r="572" ht="14.25" customHeight="1">
      <c r="B572" s="624"/>
      <c r="C572" s="625"/>
      <c r="D572" s="625"/>
      <c r="G572" s="118" t="s">
        <v>845</v>
      </c>
      <c r="H572" s="118" t="s">
        <v>1457</v>
      </c>
      <c r="L572" s="61"/>
      <c r="M572" s="63"/>
      <c r="N572" s="63"/>
      <c r="O572" s="63"/>
      <c r="P572" s="63"/>
      <c r="Q572" s="63"/>
      <c r="R572" s="63"/>
      <c r="S572" s="63"/>
      <c r="T572" s="63"/>
      <c r="U572" s="63"/>
      <c r="V572" s="63"/>
      <c r="W572" s="636">
        <v>0.0</v>
      </c>
      <c r="X572" s="634"/>
      <c r="Y572" s="635"/>
      <c r="Z572" s="65"/>
    </row>
    <row r="573" ht="14.25" customHeight="1">
      <c r="B573" s="624"/>
      <c r="C573" s="625"/>
      <c r="D573" s="625"/>
      <c r="G573" s="118" t="s">
        <v>847</v>
      </c>
      <c r="H573" s="118" t="s">
        <v>1469</v>
      </c>
      <c r="L573" s="61"/>
      <c r="M573" s="63"/>
      <c r="N573" s="63"/>
      <c r="O573" s="63"/>
      <c r="P573" s="63"/>
      <c r="Q573" s="63"/>
      <c r="R573" s="63"/>
      <c r="S573" s="63"/>
      <c r="T573" s="63"/>
      <c r="U573" s="63"/>
      <c r="V573" s="63"/>
      <c r="W573" s="636">
        <v>745.0</v>
      </c>
      <c r="X573" s="634"/>
      <c r="Y573" s="635"/>
      <c r="Z573" s="65"/>
    </row>
    <row r="574" ht="14.25" customHeight="1">
      <c r="B574" s="624"/>
      <c r="C574" s="625"/>
      <c r="D574" s="625"/>
      <c r="G574" s="118" t="s">
        <v>849</v>
      </c>
      <c r="H574" s="118" t="s">
        <v>1470</v>
      </c>
      <c r="L574" s="61"/>
      <c r="M574" s="63"/>
      <c r="N574" s="63"/>
      <c r="O574" s="63"/>
      <c r="P574" s="63"/>
      <c r="Q574" s="63"/>
      <c r="R574" s="63"/>
      <c r="S574" s="63"/>
      <c r="T574" s="63"/>
      <c r="U574" s="63"/>
      <c r="V574" s="63"/>
      <c r="W574" s="636">
        <v>0.0</v>
      </c>
      <c r="X574" s="634"/>
      <c r="Y574" s="635"/>
      <c r="Z574" s="65"/>
    </row>
    <row r="575" ht="14.25" customHeight="1">
      <c r="B575" s="624"/>
      <c r="C575" s="625"/>
      <c r="D575" s="625"/>
      <c r="G575" s="118" t="s">
        <v>858</v>
      </c>
      <c r="H575" s="118" t="s">
        <v>1471</v>
      </c>
      <c r="L575" s="61"/>
      <c r="M575" s="63"/>
      <c r="N575" s="63"/>
      <c r="O575" s="63"/>
      <c r="P575" s="63"/>
      <c r="Q575" s="63"/>
      <c r="R575" s="63"/>
      <c r="S575" s="63"/>
      <c r="T575" s="63"/>
      <c r="U575" s="63"/>
      <c r="V575" s="63"/>
      <c r="W575" s="636">
        <v>0.0</v>
      </c>
      <c r="X575" s="634"/>
      <c r="Y575" s="635"/>
      <c r="Z575" s="65"/>
    </row>
    <row r="576" ht="14.25" customHeight="1">
      <c r="B576" s="624"/>
      <c r="C576" s="625"/>
      <c r="D576" s="625"/>
      <c r="G576" s="118" t="s">
        <v>860</v>
      </c>
      <c r="H576" s="118" t="s">
        <v>1472</v>
      </c>
      <c r="L576" s="61"/>
      <c r="M576" s="63"/>
      <c r="N576" s="63"/>
      <c r="O576" s="63"/>
      <c r="P576" s="63"/>
      <c r="Q576" s="63"/>
      <c r="R576" s="63"/>
      <c r="S576" s="63"/>
      <c r="T576" s="63"/>
      <c r="U576" s="63"/>
      <c r="V576" s="63"/>
      <c r="W576" s="636">
        <v>46.0</v>
      </c>
      <c r="X576" s="634"/>
      <c r="Y576" s="635"/>
      <c r="Z576" s="65"/>
    </row>
    <row r="577" ht="14.25" customHeight="1">
      <c r="B577" s="624"/>
      <c r="C577" s="625"/>
      <c r="D577" s="625"/>
      <c r="F577" s="118" t="s">
        <v>1473</v>
      </c>
      <c r="G577" s="118" t="s">
        <v>1464</v>
      </c>
      <c r="L577" s="61"/>
      <c r="M577" s="63"/>
      <c r="N577" s="63"/>
      <c r="O577" s="63"/>
      <c r="P577" s="63"/>
      <c r="Q577" s="63"/>
      <c r="R577" s="63"/>
      <c r="S577" s="63"/>
      <c r="T577" s="63"/>
      <c r="U577" s="63"/>
      <c r="V577" s="63"/>
      <c r="W577" s="636">
        <v>0.0</v>
      </c>
      <c r="X577" s="634"/>
      <c r="Y577" s="635"/>
      <c r="Z577" s="65"/>
    </row>
    <row r="578" ht="14.25" customHeight="1">
      <c r="B578" s="624"/>
      <c r="C578" s="632" t="s">
        <v>937</v>
      </c>
      <c r="D578" s="625" t="s">
        <v>1474</v>
      </c>
      <c r="E578" s="118" t="s">
        <v>937</v>
      </c>
      <c r="F578" s="118" t="s">
        <v>1475</v>
      </c>
      <c r="L578" s="61"/>
      <c r="M578" s="63"/>
      <c r="N578" s="63"/>
      <c r="O578" s="63"/>
      <c r="P578" s="63"/>
      <c r="Q578" s="63"/>
      <c r="R578" s="63"/>
      <c r="S578" s="63"/>
      <c r="T578" s="63"/>
      <c r="U578" s="63"/>
      <c r="V578" s="63"/>
      <c r="W578" s="636"/>
      <c r="X578" s="634"/>
      <c r="Y578" s="635"/>
      <c r="Z578" s="65"/>
    </row>
    <row r="579" ht="14.25" customHeight="1">
      <c r="B579" s="624"/>
      <c r="C579" s="625"/>
      <c r="D579" s="625"/>
      <c r="F579" s="118" t="s">
        <v>1476</v>
      </c>
      <c r="L579" s="61"/>
      <c r="M579" s="63"/>
      <c r="N579" s="63"/>
      <c r="O579" s="63"/>
      <c r="P579" s="63"/>
      <c r="Q579" s="63"/>
      <c r="R579" s="63"/>
      <c r="S579" s="63"/>
      <c r="T579" s="63"/>
      <c r="U579" s="63"/>
      <c r="V579" s="63"/>
      <c r="W579" s="636">
        <v>0.0</v>
      </c>
      <c r="X579" s="634"/>
      <c r="Y579" s="635"/>
      <c r="Z579" s="65"/>
    </row>
    <row r="580" ht="14.25" customHeight="1">
      <c r="B580" s="624"/>
      <c r="C580" s="625"/>
      <c r="D580" s="625"/>
      <c r="F580" s="118" t="s">
        <v>1154</v>
      </c>
      <c r="G580" s="118" t="s">
        <v>1477</v>
      </c>
      <c r="L580" s="61"/>
      <c r="M580" s="63"/>
      <c r="N580" s="63"/>
      <c r="O580" s="63"/>
      <c r="P580" s="63"/>
      <c r="Q580" s="63"/>
      <c r="R580" s="63"/>
      <c r="S580" s="63"/>
      <c r="T580" s="63"/>
      <c r="U580" s="63"/>
      <c r="V580" s="63"/>
      <c r="W580" s="636"/>
      <c r="X580" s="634"/>
      <c r="Y580" s="635"/>
      <c r="Z580" s="65"/>
    </row>
    <row r="581" ht="14.25" customHeight="1">
      <c r="B581" s="624"/>
      <c r="C581" s="625"/>
      <c r="D581" s="625"/>
      <c r="G581" s="118" t="s">
        <v>1478</v>
      </c>
      <c r="L581" s="61"/>
      <c r="M581" s="63"/>
      <c r="N581" s="63"/>
      <c r="O581" s="63"/>
      <c r="P581" s="63"/>
      <c r="Q581" s="63"/>
      <c r="R581" s="63"/>
      <c r="S581" s="63"/>
      <c r="T581" s="63"/>
      <c r="U581" s="63"/>
      <c r="V581" s="63"/>
      <c r="W581" s="636">
        <v>0.0</v>
      </c>
      <c r="X581" s="634"/>
      <c r="Y581" s="635"/>
      <c r="Z581" s="65"/>
    </row>
    <row r="582" ht="14.25" customHeight="1">
      <c r="B582" s="624"/>
      <c r="C582" s="625"/>
      <c r="D582" s="625"/>
      <c r="G582" s="118" t="s">
        <v>1479</v>
      </c>
      <c r="L582" s="61"/>
      <c r="M582" s="63"/>
      <c r="N582" s="63"/>
      <c r="O582" s="63"/>
      <c r="P582" s="63"/>
      <c r="Q582" s="63"/>
      <c r="R582" s="63"/>
      <c r="S582" s="63"/>
      <c r="T582" s="63"/>
      <c r="U582" s="63"/>
      <c r="V582" s="63"/>
      <c r="W582" s="636">
        <v>0.0</v>
      </c>
      <c r="X582" s="634"/>
      <c r="Y582" s="635"/>
      <c r="Z582" s="65"/>
    </row>
    <row r="583" ht="14.25" customHeight="1">
      <c r="B583" s="624"/>
      <c r="C583" s="625"/>
      <c r="D583" s="625" t="s">
        <v>403</v>
      </c>
      <c r="G583" s="118" t="s">
        <v>1411</v>
      </c>
      <c r="L583" s="61"/>
      <c r="M583" s="63"/>
      <c r="N583" s="63"/>
      <c r="O583" s="63"/>
      <c r="P583" s="63"/>
      <c r="Q583" s="63"/>
      <c r="R583" s="63"/>
      <c r="S583" s="63"/>
      <c r="T583" s="63"/>
      <c r="U583" s="63"/>
      <c r="V583" s="63"/>
      <c r="W583" s="636">
        <v>0.0</v>
      </c>
      <c r="X583" s="634"/>
      <c r="Y583" s="635"/>
      <c r="Z583" s="65"/>
    </row>
    <row r="584" ht="14.25" customHeight="1">
      <c r="B584" s="624"/>
      <c r="C584" s="625"/>
      <c r="D584" s="625" t="s">
        <v>403</v>
      </c>
      <c r="G584" s="118" t="s">
        <v>1480</v>
      </c>
      <c r="L584" s="61"/>
      <c r="M584" s="63"/>
      <c r="N584" s="63"/>
      <c r="O584" s="63"/>
      <c r="P584" s="63"/>
      <c r="Q584" s="63"/>
      <c r="R584" s="63"/>
      <c r="S584" s="63"/>
      <c r="T584" s="63"/>
      <c r="U584" s="63"/>
      <c r="V584" s="63"/>
      <c r="W584" s="636">
        <v>0.0</v>
      </c>
      <c r="X584" s="634"/>
      <c r="Y584" s="635"/>
      <c r="Z584" s="65"/>
    </row>
    <row r="585" ht="14.25" customHeight="1">
      <c r="B585" s="624"/>
      <c r="C585" s="625"/>
      <c r="D585" s="625"/>
      <c r="L585" s="61"/>
      <c r="M585" s="63"/>
      <c r="N585" s="63"/>
      <c r="O585" s="63"/>
      <c r="P585" s="63"/>
      <c r="Q585" s="63"/>
      <c r="R585" s="63"/>
      <c r="S585" s="63"/>
      <c r="T585" s="63"/>
      <c r="U585" s="63"/>
      <c r="V585" s="63"/>
      <c r="W585" s="636"/>
      <c r="X585" s="634"/>
      <c r="Y585" s="635"/>
      <c r="Z585" s="65"/>
    </row>
    <row r="586" ht="14.25" customHeight="1">
      <c r="B586" s="622" t="s">
        <v>1481</v>
      </c>
      <c r="C586" s="623" t="s">
        <v>1482</v>
      </c>
      <c r="D586" s="623"/>
      <c r="E586" s="118" t="s">
        <v>866</v>
      </c>
      <c r="F586" s="118" t="s">
        <v>1483</v>
      </c>
      <c r="L586" s="61"/>
      <c r="M586" s="63"/>
      <c r="N586" s="63"/>
      <c r="O586" s="63"/>
      <c r="P586" s="63"/>
      <c r="Q586" s="63"/>
      <c r="R586" s="63"/>
      <c r="S586" s="63"/>
      <c r="T586" s="63"/>
      <c r="U586" s="63"/>
      <c r="V586" s="63"/>
      <c r="W586" s="636"/>
      <c r="X586" s="634"/>
      <c r="Y586" s="635"/>
      <c r="Z586" s="65"/>
    </row>
    <row r="587" ht="14.25" customHeight="1">
      <c r="B587" s="622"/>
      <c r="C587" s="623" t="s">
        <v>1484</v>
      </c>
      <c r="D587" s="623"/>
      <c r="F587" s="118" t="s">
        <v>1485</v>
      </c>
      <c r="L587" s="61"/>
      <c r="M587" s="63"/>
      <c r="N587" s="63"/>
      <c r="O587" s="63"/>
      <c r="P587" s="63"/>
      <c r="Q587" s="63"/>
      <c r="R587" s="63"/>
      <c r="S587" s="63"/>
      <c r="T587" s="63"/>
      <c r="U587" s="63"/>
      <c r="V587" s="63"/>
      <c r="W587" s="636">
        <v>0.0</v>
      </c>
      <c r="X587" s="634"/>
      <c r="Y587" s="635"/>
      <c r="Z587" s="65"/>
    </row>
    <row r="588" ht="14.25" customHeight="1">
      <c r="B588" s="622"/>
      <c r="C588" s="623"/>
      <c r="D588" s="623"/>
      <c r="F588" s="118" t="s">
        <v>1336</v>
      </c>
      <c r="G588" s="118" t="s">
        <v>1486</v>
      </c>
      <c r="L588" s="61"/>
      <c r="M588" s="63"/>
      <c r="N588" s="63"/>
      <c r="O588" s="63"/>
      <c r="P588" s="63"/>
      <c r="Q588" s="63"/>
      <c r="R588" s="63"/>
      <c r="S588" s="63"/>
      <c r="T588" s="63"/>
      <c r="U588" s="63"/>
      <c r="V588" s="63"/>
      <c r="W588" s="636">
        <v>0.0</v>
      </c>
      <c r="X588" s="634"/>
      <c r="Y588" s="635"/>
      <c r="Z588" s="65"/>
    </row>
    <row r="589" ht="14.25" customHeight="1">
      <c r="B589" s="624" t="s">
        <v>403</v>
      </c>
      <c r="C589" s="625"/>
      <c r="D589" s="625"/>
      <c r="G589" s="118" t="s">
        <v>845</v>
      </c>
      <c r="H589" s="118" t="s">
        <v>915</v>
      </c>
      <c r="L589" s="61"/>
      <c r="M589" s="63"/>
      <c r="N589" s="63"/>
      <c r="O589" s="63"/>
      <c r="P589" s="63"/>
      <c r="Q589" s="63"/>
      <c r="R589" s="63"/>
      <c r="S589" s="63"/>
      <c r="T589" s="63"/>
      <c r="U589" s="63"/>
      <c r="V589" s="63"/>
      <c r="W589" s="636">
        <v>0.0</v>
      </c>
      <c r="X589" s="634"/>
      <c r="Y589" s="635"/>
      <c r="Z589" s="65"/>
    </row>
    <row r="590" ht="14.25" customHeight="1">
      <c r="B590" s="622" t="s">
        <v>403</v>
      </c>
      <c r="C590" s="625"/>
      <c r="D590" s="625"/>
      <c r="G590" s="118" t="s">
        <v>847</v>
      </c>
      <c r="H590" s="118" t="s">
        <v>1487</v>
      </c>
      <c r="L590" s="61"/>
      <c r="M590" s="63"/>
      <c r="N590" s="63"/>
      <c r="O590" s="63"/>
      <c r="P590" s="63"/>
      <c r="Q590" s="63"/>
      <c r="R590" s="63"/>
      <c r="S590" s="63"/>
      <c r="T590" s="63"/>
      <c r="U590" s="63"/>
      <c r="V590" s="63"/>
      <c r="W590" s="636">
        <v>0.0</v>
      </c>
      <c r="X590" s="634"/>
      <c r="Y590" s="635"/>
      <c r="Z590" s="65"/>
    </row>
    <row r="591" ht="14.25" customHeight="1">
      <c r="B591" s="624"/>
      <c r="C591" s="625"/>
      <c r="D591" s="625"/>
      <c r="G591" s="118" t="s">
        <v>849</v>
      </c>
      <c r="H591" s="118" t="s">
        <v>1488</v>
      </c>
      <c r="L591" s="61"/>
      <c r="M591" s="63"/>
      <c r="N591" s="63"/>
      <c r="O591" s="63"/>
      <c r="P591" s="63"/>
      <c r="Q591" s="63"/>
      <c r="R591" s="63"/>
      <c r="S591" s="63"/>
      <c r="T591" s="63"/>
      <c r="U591" s="63"/>
      <c r="V591" s="63"/>
      <c r="W591" s="636">
        <v>0.0</v>
      </c>
      <c r="X591" s="634"/>
      <c r="Y591" s="635"/>
      <c r="Z591" s="65"/>
    </row>
    <row r="592" ht="14.25" customHeight="1">
      <c r="B592" s="624"/>
      <c r="C592" s="625"/>
      <c r="D592" s="625"/>
      <c r="E592" s="118" t="s">
        <v>403</v>
      </c>
      <c r="G592" s="118" t="s">
        <v>858</v>
      </c>
      <c r="H592" s="118" t="s">
        <v>961</v>
      </c>
      <c r="L592" s="61"/>
      <c r="M592" s="63"/>
      <c r="N592" s="63"/>
      <c r="O592" s="63"/>
      <c r="P592" s="63"/>
      <c r="Q592" s="63"/>
      <c r="R592" s="63"/>
      <c r="S592" s="63"/>
      <c r="T592" s="63"/>
      <c r="U592" s="63"/>
      <c r="V592" s="63"/>
      <c r="W592" s="636">
        <v>0.0</v>
      </c>
      <c r="X592" s="634"/>
      <c r="Y592" s="635"/>
      <c r="Z592" s="65"/>
    </row>
    <row r="593" ht="14.25" customHeight="1">
      <c r="B593" s="624"/>
      <c r="C593" s="625"/>
      <c r="D593" s="625"/>
      <c r="G593" s="118" t="s">
        <v>860</v>
      </c>
      <c r="H593" s="118" t="s">
        <v>963</v>
      </c>
      <c r="L593" s="61"/>
      <c r="M593" s="63"/>
      <c r="N593" s="63"/>
      <c r="O593" s="63"/>
      <c r="P593" s="63"/>
      <c r="Q593" s="63"/>
      <c r="R593" s="63"/>
      <c r="S593" s="63"/>
      <c r="T593" s="63"/>
      <c r="U593" s="63"/>
      <c r="V593" s="63"/>
      <c r="W593" s="636">
        <v>0.0</v>
      </c>
      <c r="X593" s="634"/>
      <c r="Y593" s="635"/>
      <c r="Z593" s="65"/>
    </row>
    <row r="594" ht="14.25" customHeight="1">
      <c r="B594" s="624"/>
      <c r="C594" s="625"/>
      <c r="D594" s="625"/>
      <c r="I594" s="118" t="s">
        <v>1408</v>
      </c>
      <c r="L594" s="61"/>
      <c r="M594" s="63"/>
      <c r="N594" s="63"/>
      <c r="O594" s="63"/>
      <c r="P594" s="63"/>
      <c r="Q594" s="63"/>
      <c r="R594" s="63"/>
      <c r="S594" s="63"/>
      <c r="T594" s="63"/>
      <c r="U594" s="63"/>
      <c r="V594" s="63"/>
      <c r="W594" s="636">
        <v>0.0</v>
      </c>
      <c r="X594" s="634"/>
      <c r="Y594" s="635"/>
      <c r="Z594" s="65"/>
    </row>
    <row r="595" ht="14.25" customHeight="1">
      <c r="B595" s="624"/>
      <c r="C595" s="625"/>
      <c r="D595" s="625"/>
      <c r="I595" s="118" t="s">
        <v>1408</v>
      </c>
      <c r="L595" s="61"/>
      <c r="M595" s="63"/>
      <c r="N595" s="63"/>
      <c r="O595" s="63"/>
      <c r="P595" s="63"/>
      <c r="Q595" s="63"/>
      <c r="R595" s="63"/>
      <c r="S595" s="63"/>
      <c r="T595" s="63"/>
      <c r="U595" s="63"/>
      <c r="V595" s="63"/>
      <c r="W595" s="636">
        <v>0.0</v>
      </c>
      <c r="X595" s="634"/>
      <c r="Y595" s="635"/>
      <c r="Z595" s="65"/>
    </row>
    <row r="596" ht="14.25" customHeight="1">
      <c r="B596" s="624"/>
      <c r="C596" s="625"/>
      <c r="D596" s="625"/>
      <c r="I596" s="118" t="s">
        <v>1408</v>
      </c>
      <c r="L596" s="61"/>
      <c r="M596" s="63"/>
      <c r="N596" s="63"/>
      <c r="O596" s="63"/>
      <c r="P596" s="63"/>
      <c r="Q596" s="63"/>
      <c r="R596" s="63"/>
      <c r="S596" s="63"/>
      <c r="T596" s="63"/>
      <c r="U596" s="63"/>
      <c r="V596" s="63"/>
      <c r="W596" s="636">
        <v>0.0</v>
      </c>
      <c r="X596" s="634"/>
      <c r="Y596" s="635"/>
      <c r="Z596" s="65"/>
    </row>
    <row r="597" ht="14.25" customHeight="1">
      <c r="B597" s="624"/>
      <c r="C597" s="625"/>
      <c r="D597" s="625"/>
      <c r="E597" s="118" t="s">
        <v>906</v>
      </c>
      <c r="F597" s="118" t="s">
        <v>1483</v>
      </c>
      <c r="L597" s="61"/>
      <c r="M597" s="63"/>
      <c r="N597" s="63"/>
      <c r="O597" s="63"/>
      <c r="P597" s="63"/>
      <c r="Q597" s="63"/>
      <c r="R597" s="63"/>
      <c r="S597" s="63"/>
      <c r="T597" s="63"/>
      <c r="U597" s="63"/>
      <c r="V597" s="63"/>
      <c r="W597" s="636"/>
      <c r="X597" s="634"/>
      <c r="Y597" s="635"/>
      <c r="Z597" s="65"/>
    </row>
    <row r="598" ht="14.25" customHeight="1">
      <c r="B598" s="624"/>
      <c r="C598" s="625"/>
      <c r="D598" s="625"/>
      <c r="F598" s="118" t="s">
        <v>1489</v>
      </c>
      <c r="L598" s="61"/>
      <c r="M598" s="63"/>
      <c r="N598" s="63"/>
      <c r="O598" s="63"/>
      <c r="P598" s="63"/>
      <c r="Q598" s="63"/>
      <c r="R598" s="63"/>
      <c r="S598" s="63"/>
      <c r="T598" s="63"/>
      <c r="U598" s="63"/>
      <c r="V598" s="63"/>
      <c r="W598" s="636">
        <v>0.0</v>
      </c>
      <c r="X598" s="634"/>
      <c r="Y598" s="635"/>
      <c r="Z598" s="65"/>
    </row>
    <row r="599" ht="14.25" customHeight="1">
      <c r="B599" s="624"/>
      <c r="C599" s="625"/>
      <c r="D599" s="625"/>
      <c r="F599" s="118" t="s">
        <v>1490</v>
      </c>
      <c r="G599" s="118" t="s">
        <v>1486</v>
      </c>
      <c r="L599" s="61"/>
      <c r="M599" s="63"/>
      <c r="N599" s="63"/>
      <c r="O599" s="63"/>
      <c r="P599" s="63"/>
      <c r="Q599" s="63"/>
      <c r="R599" s="63"/>
      <c r="S599" s="63"/>
      <c r="T599" s="63"/>
      <c r="U599" s="63"/>
      <c r="V599" s="63"/>
      <c r="W599" s="636">
        <v>0.0</v>
      </c>
      <c r="X599" s="634"/>
      <c r="Y599" s="635"/>
      <c r="Z599" s="65"/>
    </row>
    <row r="600" ht="14.25" customHeight="1">
      <c r="B600" s="624"/>
      <c r="C600" s="625"/>
      <c r="D600" s="625"/>
      <c r="G600" s="118" t="s">
        <v>845</v>
      </c>
      <c r="H600" s="118" t="s">
        <v>915</v>
      </c>
      <c r="L600" s="61"/>
      <c r="M600" s="63"/>
      <c r="N600" s="63"/>
      <c r="O600" s="63"/>
      <c r="P600" s="63"/>
      <c r="Q600" s="63"/>
      <c r="R600" s="63"/>
      <c r="S600" s="63"/>
      <c r="T600" s="63"/>
      <c r="U600" s="63"/>
      <c r="V600" s="63"/>
      <c r="W600" s="636">
        <v>0.0</v>
      </c>
      <c r="X600" s="634"/>
      <c r="Y600" s="635"/>
      <c r="Z600" s="65"/>
    </row>
    <row r="601" ht="14.25" customHeight="1">
      <c r="B601" s="624"/>
      <c r="C601" s="625"/>
      <c r="D601" s="625"/>
      <c r="G601" s="118" t="s">
        <v>847</v>
      </c>
      <c r="H601" s="118" t="s">
        <v>1487</v>
      </c>
      <c r="L601" s="61"/>
      <c r="M601" s="63"/>
      <c r="N601" s="63"/>
      <c r="O601" s="63"/>
      <c r="P601" s="63"/>
      <c r="Q601" s="63"/>
      <c r="R601" s="63"/>
      <c r="S601" s="63"/>
      <c r="T601" s="63"/>
      <c r="U601" s="63"/>
      <c r="V601" s="63"/>
      <c r="W601" s="636">
        <v>0.0</v>
      </c>
      <c r="X601" s="634"/>
      <c r="Y601" s="635"/>
      <c r="Z601" s="65"/>
    </row>
    <row r="602" ht="14.25" customHeight="1">
      <c r="B602" s="624"/>
      <c r="C602" s="625"/>
      <c r="D602" s="625"/>
      <c r="G602" s="118" t="s">
        <v>849</v>
      </c>
      <c r="H602" s="118" t="s">
        <v>1488</v>
      </c>
      <c r="L602" s="61"/>
      <c r="M602" s="63"/>
      <c r="N602" s="63"/>
      <c r="O602" s="63"/>
      <c r="P602" s="63"/>
      <c r="Q602" s="63"/>
      <c r="R602" s="63"/>
      <c r="S602" s="63"/>
      <c r="T602" s="63"/>
      <c r="U602" s="63"/>
      <c r="V602" s="63"/>
      <c r="W602" s="636">
        <v>0.0</v>
      </c>
      <c r="X602" s="634"/>
      <c r="Y602" s="635"/>
      <c r="Z602" s="65"/>
    </row>
    <row r="603" ht="14.25" customHeight="1">
      <c r="B603" s="624"/>
      <c r="C603" s="625"/>
      <c r="D603" s="625"/>
      <c r="E603" s="118" t="s">
        <v>403</v>
      </c>
      <c r="G603" s="118" t="s">
        <v>858</v>
      </c>
      <c r="H603" s="118" t="s">
        <v>961</v>
      </c>
      <c r="L603" s="61"/>
      <c r="M603" s="63"/>
      <c r="N603" s="63"/>
      <c r="O603" s="63"/>
      <c r="P603" s="63"/>
      <c r="Q603" s="63"/>
      <c r="R603" s="63"/>
      <c r="S603" s="63"/>
      <c r="T603" s="63"/>
      <c r="U603" s="63"/>
      <c r="V603" s="63"/>
      <c r="W603" s="636">
        <v>0.0</v>
      </c>
      <c r="X603" s="634"/>
      <c r="Y603" s="635"/>
      <c r="Z603" s="65"/>
    </row>
    <row r="604" ht="14.25" customHeight="1">
      <c r="B604" s="624"/>
      <c r="C604" s="625"/>
      <c r="D604" s="625"/>
      <c r="G604" s="118" t="s">
        <v>860</v>
      </c>
      <c r="H604" s="118" t="s">
        <v>963</v>
      </c>
      <c r="L604" s="61"/>
      <c r="M604" s="63"/>
      <c r="N604" s="63"/>
      <c r="O604" s="63"/>
      <c r="P604" s="63"/>
      <c r="Q604" s="63"/>
      <c r="R604" s="63"/>
      <c r="S604" s="63"/>
      <c r="T604" s="63"/>
      <c r="U604" s="63"/>
      <c r="V604" s="63"/>
      <c r="W604" s="636">
        <v>0.0</v>
      </c>
      <c r="X604" s="634"/>
      <c r="Y604" s="635"/>
      <c r="Z604" s="65"/>
    </row>
    <row r="605" ht="14.25" customHeight="1">
      <c r="B605" s="624"/>
      <c r="C605" s="625"/>
      <c r="D605" s="625"/>
      <c r="I605" s="118" t="s">
        <v>1408</v>
      </c>
      <c r="L605" s="61"/>
      <c r="M605" s="63"/>
      <c r="N605" s="63"/>
      <c r="O605" s="63"/>
      <c r="P605" s="63"/>
      <c r="Q605" s="63"/>
      <c r="R605" s="63"/>
      <c r="S605" s="63"/>
      <c r="T605" s="63"/>
      <c r="U605" s="63"/>
      <c r="V605" s="63"/>
      <c r="W605" s="636">
        <v>0.0</v>
      </c>
      <c r="X605" s="634"/>
      <c r="Y605" s="635"/>
      <c r="Z605" s="65"/>
    </row>
    <row r="606" ht="14.25" customHeight="1">
      <c r="B606" s="624"/>
      <c r="C606" s="625"/>
      <c r="D606" s="625"/>
      <c r="I606" s="118" t="s">
        <v>1408</v>
      </c>
      <c r="L606" s="61"/>
      <c r="M606" s="63"/>
      <c r="N606" s="63"/>
      <c r="O606" s="63"/>
      <c r="P606" s="63"/>
      <c r="Q606" s="63"/>
      <c r="R606" s="63"/>
      <c r="S606" s="63"/>
      <c r="T606" s="63"/>
      <c r="U606" s="63"/>
      <c r="V606" s="63"/>
      <c r="W606" s="636">
        <v>0.0</v>
      </c>
      <c r="X606" s="634"/>
      <c r="Y606" s="635"/>
      <c r="Z606" s="65"/>
    </row>
    <row r="607" ht="14.25" customHeight="1">
      <c r="B607" s="624"/>
      <c r="C607" s="625"/>
      <c r="D607" s="625"/>
      <c r="I607" s="118" t="s">
        <v>1408</v>
      </c>
      <c r="L607" s="61"/>
      <c r="M607" s="63"/>
      <c r="N607" s="63"/>
      <c r="O607" s="63"/>
      <c r="P607" s="63"/>
      <c r="Q607" s="63"/>
      <c r="R607" s="63"/>
      <c r="S607" s="63"/>
      <c r="T607" s="63"/>
      <c r="U607" s="63"/>
      <c r="V607" s="63"/>
      <c r="W607" s="636">
        <v>0.0</v>
      </c>
      <c r="X607" s="634"/>
      <c r="Y607" s="635"/>
      <c r="Z607" s="65"/>
    </row>
    <row r="608" ht="14.25" customHeight="1">
      <c r="B608" s="622" t="s">
        <v>1491</v>
      </c>
      <c r="C608" s="623" t="s">
        <v>1492</v>
      </c>
      <c r="D608" s="625"/>
      <c r="E608" s="118" t="s">
        <v>866</v>
      </c>
      <c r="F608" s="118" t="s">
        <v>1493</v>
      </c>
      <c r="L608" s="61"/>
      <c r="M608" s="63"/>
      <c r="N608" s="63"/>
      <c r="O608" s="63"/>
      <c r="P608" s="63"/>
      <c r="Q608" s="63"/>
      <c r="R608" s="63"/>
      <c r="S608" s="63"/>
      <c r="T608" s="63"/>
      <c r="U608" s="63"/>
      <c r="V608" s="63"/>
      <c r="W608" s="636"/>
      <c r="X608" s="634"/>
      <c r="Y608" s="635"/>
      <c r="Z608" s="65"/>
    </row>
    <row r="609" ht="14.25" customHeight="1">
      <c r="B609" s="624"/>
      <c r="C609" s="625" t="s">
        <v>1429</v>
      </c>
      <c r="D609" s="625"/>
      <c r="F609" s="118" t="s">
        <v>1494</v>
      </c>
      <c r="L609" s="61"/>
      <c r="M609" s="63"/>
      <c r="N609" s="63"/>
      <c r="O609" s="63"/>
      <c r="P609" s="63"/>
      <c r="Q609" s="63"/>
      <c r="R609" s="63"/>
      <c r="S609" s="63"/>
      <c r="T609" s="63"/>
      <c r="U609" s="63"/>
      <c r="V609" s="63"/>
      <c r="W609" s="636"/>
      <c r="X609" s="634"/>
      <c r="Y609" s="635"/>
      <c r="Z609" s="65"/>
    </row>
    <row r="610" ht="14.25" customHeight="1">
      <c r="B610" s="622"/>
      <c r="C610" s="625"/>
      <c r="D610" s="625"/>
      <c r="F610" s="118" t="s">
        <v>1495</v>
      </c>
      <c r="L610" s="61"/>
      <c r="M610" s="63"/>
      <c r="N610" s="63"/>
      <c r="O610" s="63"/>
      <c r="P610" s="63"/>
      <c r="Q610" s="63"/>
      <c r="R610" s="63"/>
      <c r="S610" s="63"/>
      <c r="T610" s="63"/>
      <c r="U610" s="63"/>
      <c r="V610" s="63"/>
      <c r="W610" s="636">
        <v>44.0</v>
      </c>
      <c r="X610" s="634"/>
      <c r="Y610" s="635"/>
      <c r="Z610" s="65"/>
    </row>
    <row r="611" ht="14.25" customHeight="1">
      <c r="B611" s="624"/>
      <c r="C611" s="625"/>
      <c r="D611" s="625"/>
      <c r="F611" s="118" t="s">
        <v>845</v>
      </c>
      <c r="G611" s="118" t="s">
        <v>1496</v>
      </c>
      <c r="L611" s="61"/>
      <c r="M611" s="63"/>
      <c r="N611" s="63"/>
      <c r="O611" s="63"/>
      <c r="P611" s="63"/>
      <c r="Q611" s="63"/>
      <c r="R611" s="63"/>
      <c r="S611" s="63"/>
      <c r="T611" s="63"/>
      <c r="U611" s="63"/>
      <c r="V611" s="63"/>
      <c r="W611" s="636">
        <v>42.0</v>
      </c>
      <c r="X611" s="634"/>
      <c r="Y611" s="635"/>
      <c r="Z611" s="65"/>
    </row>
    <row r="612" ht="14.25" customHeight="1">
      <c r="B612" s="624"/>
      <c r="C612" s="625"/>
      <c r="D612" s="625"/>
      <c r="G612" s="118" t="s">
        <v>1497</v>
      </c>
      <c r="L612" s="61"/>
      <c r="M612" s="63"/>
      <c r="N612" s="63"/>
      <c r="O612" s="63"/>
      <c r="P612" s="63"/>
      <c r="Q612" s="63"/>
      <c r="R612" s="63"/>
      <c r="S612" s="63"/>
      <c r="T612" s="63"/>
      <c r="U612" s="63"/>
      <c r="V612" s="63"/>
      <c r="W612" s="636">
        <v>27.0</v>
      </c>
      <c r="X612" s="634"/>
      <c r="Y612" s="635"/>
      <c r="Z612" s="65"/>
    </row>
    <row r="613" ht="14.25" customHeight="1">
      <c r="B613" s="624"/>
      <c r="C613" s="625"/>
      <c r="D613" s="625"/>
      <c r="G613" s="118" t="s">
        <v>961</v>
      </c>
      <c r="L613" s="61"/>
      <c r="M613" s="63"/>
      <c r="N613" s="63"/>
      <c r="O613" s="63"/>
      <c r="P613" s="63"/>
      <c r="Q613" s="63"/>
      <c r="R613" s="63"/>
      <c r="S613" s="63"/>
      <c r="T613" s="63"/>
      <c r="U613" s="63"/>
      <c r="V613" s="63"/>
      <c r="W613" s="636">
        <v>3.0</v>
      </c>
      <c r="X613" s="634"/>
      <c r="Y613" s="635"/>
      <c r="Z613" s="65"/>
    </row>
    <row r="614" ht="14.25" customHeight="1">
      <c r="B614" s="624"/>
      <c r="C614" s="625"/>
      <c r="D614" s="625"/>
      <c r="G614" s="118" t="s">
        <v>915</v>
      </c>
      <c r="L614" s="61"/>
      <c r="M614" s="63"/>
      <c r="N614" s="63"/>
      <c r="O614" s="63"/>
      <c r="P614" s="63"/>
      <c r="Q614" s="63"/>
      <c r="R614" s="63"/>
      <c r="S614" s="63"/>
      <c r="T614" s="63"/>
      <c r="U614" s="63"/>
      <c r="V614" s="63"/>
      <c r="W614" s="636">
        <v>12.0</v>
      </c>
      <c r="X614" s="634"/>
      <c r="Y614" s="635"/>
      <c r="Z614" s="65"/>
    </row>
    <row r="615" ht="14.25" customHeight="1">
      <c r="B615" s="624"/>
      <c r="C615" s="625"/>
      <c r="D615" s="625"/>
      <c r="F615" s="118" t="s">
        <v>847</v>
      </c>
      <c r="G615" s="118" t="s">
        <v>1498</v>
      </c>
      <c r="L615" s="61"/>
      <c r="M615" s="63"/>
      <c r="N615" s="63"/>
      <c r="O615" s="63"/>
      <c r="P615" s="63"/>
      <c r="Q615" s="63"/>
      <c r="R615" s="63"/>
      <c r="S615" s="63"/>
      <c r="T615" s="63"/>
      <c r="U615" s="63"/>
      <c r="V615" s="63"/>
      <c r="W615" s="636">
        <v>0.0</v>
      </c>
      <c r="X615" s="634"/>
      <c r="Y615" s="635"/>
      <c r="Z615" s="65"/>
    </row>
    <row r="616" ht="14.25" customHeight="1">
      <c r="B616" s="624"/>
      <c r="C616" s="625"/>
      <c r="D616" s="625"/>
      <c r="G616" s="118" t="s">
        <v>1408</v>
      </c>
      <c r="L616" s="61"/>
      <c r="M616" s="63"/>
      <c r="N616" s="63"/>
      <c r="O616" s="63"/>
      <c r="P616" s="63"/>
      <c r="Q616" s="63"/>
      <c r="R616" s="63"/>
      <c r="S616" s="63"/>
      <c r="T616" s="63"/>
      <c r="U616" s="63"/>
      <c r="V616" s="63"/>
      <c r="W616" s="636">
        <v>0.0</v>
      </c>
      <c r="X616" s="634"/>
      <c r="Y616" s="635"/>
      <c r="Z616" s="65"/>
    </row>
    <row r="617" ht="14.25" customHeight="1">
      <c r="B617" s="624"/>
      <c r="C617" s="625"/>
      <c r="D617" s="625"/>
      <c r="G617" s="118" t="s">
        <v>1408</v>
      </c>
      <c r="L617" s="61"/>
      <c r="M617" s="63"/>
      <c r="N617" s="63"/>
      <c r="O617" s="63"/>
      <c r="P617" s="63"/>
      <c r="Q617" s="63"/>
      <c r="R617" s="63"/>
      <c r="S617" s="63"/>
      <c r="T617" s="63"/>
      <c r="U617" s="63"/>
      <c r="V617" s="63"/>
      <c r="W617" s="636">
        <v>0.0</v>
      </c>
      <c r="X617" s="634"/>
      <c r="Y617" s="635"/>
      <c r="Z617" s="65"/>
    </row>
    <row r="618" ht="14.25" customHeight="1">
      <c r="B618" s="624"/>
      <c r="C618" s="625"/>
      <c r="D618" s="625"/>
      <c r="G618" s="118" t="s">
        <v>1408</v>
      </c>
      <c r="L618" s="61"/>
      <c r="M618" s="63"/>
      <c r="N618" s="63"/>
      <c r="O618" s="63"/>
      <c r="P618" s="63"/>
      <c r="Q618" s="63"/>
      <c r="R618" s="63"/>
      <c r="S618" s="63"/>
      <c r="T618" s="63"/>
      <c r="U618" s="63"/>
      <c r="V618" s="63"/>
      <c r="W618" s="636">
        <v>0.0</v>
      </c>
      <c r="X618" s="634"/>
      <c r="Y618" s="635"/>
      <c r="Z618" s="65"/>
    </row>
    <row r="619" ht="14.25" customHeight="1">
      <c r="B619" s="622"/>
      <c r="C619" s="625"/>
      <c r="D619" s="625"/>
      <c r="F619" s="118" t="s">
        <v>849</v>
      </c>
      <c r="G619" s="118" t="s">
        <v>1244</v>
      </c>
      <c r="L619" s="61"/>
      <c r="M619" s="63"/>
      <c r="N619" s="63"/>
      <c r="O619" s="63"/>
      <c r="P619" s="63"/>
      <c r="Q619" s="63"/>
      <c r="R619" s="63"/>
      <c r="S619" s="63"/>
      <c r="T619" s="63"/>
      <c r="U619" s="63"/>
      <c r="V619" s="63"/>
      <c r="W619" s="636">
        <v>1.0</v>
      </c>
      <c r="X619" s="634"/>
      <c r="Y619" s="635"/>
      <c r="Z619" s="65"/>
    </row>
    <row r="620" ht="14.25" customHeight="1">
      <c r="B620" s="622"/>
      <c r="C620" s="625"/>
      <c r="D620" s="625"/>
      <c r="G620" s="118" t="s">
        <v>1499</v>
      </c>
      <c r="L620" s="61"/>
      <c r="M620" s="63"/>
      <c r="N620" s="63"/>
      <c r="O620" s="63"/>
      <c r="P620" s="63"/>
      <c r="Q620" s="63"/>
      <c r="R620" s="63"/>
      <c r="S620" s="63"/>
      <c r="T620" s="63"/>
      <c r="U620" s="63"/>
      <c r="V620" s="63"/>
      <c r="W620" s="636">
        <v>1.0</v>
      </c>
      <c r="X620" s="634"/>
      <c r="Y620" s="635"/>
      <c r="Z620" s="65"/>
    </row>
    <row r="621" ht="14.25" customHeight="1">
      <c r="B621" s="622"/>
      <c r="C621" s="625"/>
      <c r="D621" s="625"/>
      <c r="G621" s="118" t="s">
        <v>1408</v>
      </c>
      <c r="L621" s="61"/>
      <c r="M621" s="63"/>
      <c r="N621" s="63"/>
      <c r="O621" s="63"/>
      <c r="P621" s="63"/>
      <c r="Q621" s="63"/>
      <c r="R621" s="63"/>
      <c r="S621" s="63"/>
      <c r="T621" s="63"/>
      <c r="U621" s="63"/>
      <c r="V621" s="63"/>
      <c r="W621" s="636">
        <v>0.0</v>
      </c>
      <c r="X621" s="634"/>
      <c r="Y621" s="635"/>
      <c r="Z621" s="65"/>
    </row>
    <row r="622" ht="14.25" customHeight="1">
      <c r="B622" s="622"/>
      <c r="C622" s="625"/>
      <c r="D622" s="625"/>
      <c r="G622" s="118" t="s">
        <v>1408</v>
      </c>
      <c r="L622" s="61"/>
      <c r="M622" s="63"/>
      <c r="N622" s="63"/>
      <c r="O622" s="63"/>
      <c r="P622" s="63"/>
      <c r="Q622" s="63"/>
      <c r="R622" s="63"/>
      <c r="S622" s="63"/>
      <c r="T622" s="63"/>
      <c r="U622" s="63"/>
      <c r="V622" s="63"/>
      <c r="W622" s="636">
        <v>0.0</v>
      </c>
      <c r="X622" s="634"/>
      <c r="Y622" s="635"/>
      <c r="Z622" s="65"/>
    </row>
    <row r="623" ht="14.25" customHeight="1">
      <c r="B623" s="622"/>
      <c r="C623" s="625"/>
      <c r="D623" s="625"/>
      <c r="F623" s="118" t="s">
        <v>858</v>
      </c>
      <c r="G623" s="118" t="s">
        <v>1500</v>
      </c>
      <c r="L623" s="61"/>
      <c r="M623" s="63"/>
      <c r="N623" s="63"/>
      <c r="O623" s="63"/>
      <c r="P623" s="63"/>
      <c r="Q623" s="63"/>
      <c r="R623" s="63"/>
      <c r="S623" s="63"/>
      <c r="T623" s="63"/>
      <c r="U623" s="63"/>
      <c r="V623" s="63"/>
      <c r="W623" s="636">
        <v>0.0</v>
      </c>
      <c r="X623" s="634"/>
      <c r="Y623" s="635"/>
      <c r="Z623" s="65"/>
    </row>
    <row r="624" ht="14.25" customHeight="1">
      <c r="B624" s="622"/>
      <c r="C624" s="625"/>
      <c r="D624" s="625"/>
      <c r="G624" s="118" t="s">
        <v>1408</v>
      </c>
      <c r="L624" s="61"/>
      <c r="M624" s="63"/>
      <c r="N624" s="63"/>
      <c r="O624" s="63"/>
      <c r="P624" s="63"/>
      <c r="Q624" s="63"/>
      <c r="R624" s="63"/>
      <c r="S624" s="63"/>
      <c r="T624" s="63"/>
      <c r="U624" s="63"/>
      <c r="V624" s="63"/>
      <c r="W624" s="636">
        <v>0.0</v>
      </c>
      <c r="X624" s="634"/>
      <c r="Y624" s="635"/>
      <c r="Z624" s="65"/>
    </row>
    <row r="625" ht="14.25" customHeight="1">
      <c r="B625" s="622"/>
      <c r="C625" s="625"/>
      <c r="D625" s="625"/>
      <c r="G625" s="118" t="s">
        <v>1408</v>
      </c>
      <c r="L625" s="61"/>
      <c r="M625" s="63"/>
      <c r="N625" s="63"/>
      <c r="O625" s="63"/>
      <c r="P625" s="63"/>
      <c r="Q625" s="63"/>
      <c r="R625" s="63"/>
      <c r="S625" s="63"/>
      <c r="T625" s="63"/>
      <c r="U625" s="63"/>
      <c r="V625" s="63"/>
      <c r="W625" s="636">
        <v>0.0</v>
      </c>
      <c r="X625" s="634"/>
      <c r="Y625" s="635"/>
      <c r="Z625" s="65"/>
    </row>
    <row r="626" ht="14.25" customHeight="1">
      <c r="B626" s="622"/>
      <c r="C626" s="625"/>
      <c r="D626" s="625"/>
      <c r="G626" s="118" t="s">
        <v>1408</v>
      </c>
      <c r="L626" s="61"/>
      <c r="M626" s="63"/>
      <c r="N626" s="63"/>
      <c r="O626" s="63"/>
      <c r="P626" s="63"/>
      <c r="Q626" s="63"/>
      <c r="R626" s="63"/>
      <c r="S626" s="63"/>
      <c r="T626" s="63"/>
      <c r="U626" s="63"/>
      <c r="V626" s="63"/>
      <c r="W626" s="636">
        <v>0.0</v>
      </c>
      <c r="X626" s="634"/>
      <c r="Y626" s="635"/>
      <c r="Z626" s="65"/>
    </row>
    <row r="627" ht="14.25" customHeight="1">
      <c r="B627" s="622"/>
      <c r="C627" s="625"/>
      <c r="D627" s="625"/>
      <c r="F627" s="118" t="s">
        <v>860</v>
      </c>
      <c r="G627" s="118" t="s">
        <v>1501</v>
      </c>
      <c r="L627" s="61"/>
      <c r="M627" s="63"/>
      <c r="N627" s="63"/>
      <c r="O627" s="63"/>
      <c r="P627" s="63"/>
      <c r="Q627" s="63"/>
      <c r="R627" s="63"/>
      <c r="S627" s="63"/>
      <c r="T627" s="63"/>
      <c r="U627" s="63"/>
      <c r="V627" s="63"/>
      <c r="W627" s="636">
        <v>0.0</v>
      </c>
      <c r="X627" s="634"/>
      <c r="Y627" s="635"/>
      <c r="Z627" s="65"/>
    </row>
    <row r="628" ht="14.25" customHeight="1">
      <c r="B628" s="622"/>
      <c r="C628" s="625"/>
      <c r="D628" s="625"/>
      <c r="G628" s="118" t="s">
        <v>1408</v>
      </c>
      <c r="L628" s="61"/>
      <c r="M628" s="63"/>
      <c r="N628" s="63"/>
      <c r="O628" s="63"/>
      <c r="P628" s="63"/>
      <c r="Q628" s="63"/>
      <c r="R628" s="63"/>
      <c r="S628" s="63"/>
      <c r="T628" s="63"/>
      <c r="U628" s="63"/>
      <c r="V628" s="63"/>
      <c r="W628" s="636">
        <v>0.0</v>
      </c>
      <c r="X628" s="634"/>
      <c r="Y628" s="635"/>
      <c r="Z628" s="65"/>
    </row>
    <row r="629" ht="14.25" customHeight="1">
      <c r="B629" s="622"/>
      <c r="C629" s="625"/>
      <c r="D629" s="625"/>
      <c r="G629" s="118" t="s">
        <v>1408</v>
      </c>
      <c r="L629" s="61"/>
      <c r="M629" s="63"/>
      <c r="N629" s="63"/>
      <c r="O629" s="63"/>
      <c r="P629" s="63"/>
      <c r="Q629" s="63"/>
      <c r="R629" s="63"/>
      <c r="S629" s="63"/>
      <c r="T629" s="63"/>
      <c r="U629" s="63"/>
      <c r="V629" s="63"/>
      <c r="W629" s="636">
        <v>0.0</v>
      </c>
      <c r="X629" s="634"/>
      <c r="Y629" s="635"/>
      <c r="Z629" s="65"/>
    </row>
    <row r="630" ht="14.25" customHeight="1">
      <c r="B630" s="622"/>
      <c r="C630" s="625"/>
      <c r="D630" s="625"/>
      <c r="G630" s="118" t="s">
        <v>1408</v>
      </c>
      <c r="L630" s="61"/>
      <c r="M630" s="63"/>
      <c r="N630" s="63"/>
      <c r="O630" s="63"/>
      <c r="P630" s="63"/>
      <c r="Q630" s="63"/>
      <c r="R630" s="63"/>
      <c r="S630" s="63"/>
      <c r="T630" s="63"/>
      <c r="U630" s="63"/>
      <c r="V630" s="63"/>
      <c r="W630" s="636">
        <v>0.0</v>
      </c>
      <c r="X630" s="634"/>
      <c r="Y630" s="635"/>
      <c r="Z630" s="65"/>
    </row>
    <row r="631" ht="14.25" customHeight="1">
      <c r="B631" s="622"/>
      <c r="C631" s="625"/>
      <c r="D631" s="625"/>
      <c r="F631" s="118" t="s">
        <v>862</v>
      </c>
      <c r="G631" s="118" t="s">
        <v>161</v>
      </c>
      <c r="L631" s="61"/>
      <c r="M631" s="63"/>
      <c r="N631" s="63"/>
      <c r="O631" s="63"/>
      <c r="P631" s="63"/>
      <c r="Q631" s="63"/>
      <c r="R631" s="63"/>
      <c r="S631" s="63"/>
      <c r="T631" s="63"/>
      <c r="U631" s="63"/>
      <c r="V631" s="63"/>
      <c r="W631" s="636">
        <v>1.0</v>
      </c>
      <c r="X631" s="634"/>
      <c r="Y631" s="635"/>
      <c r="Z631" s="65"/>
    </row>
    <row r="632" ht="14.25" customHeight="1">
      <c r="B632" s="622"/>
      <c r="C632" s="625"/>
      <c r="D632" s="625"/>
      <c r="G632" s="118" t="s">
        <v>1502</v>
      </c>
      <c r="L632" s="61"/>
      <c r="M632" s="63"/>
      <c r="N632" s="63"/>
      <c r="O632" s="63"/>
      <c r="P632" s="63"/>
      <c r="Q632" s="63"/>
      <c r="R632" s="63"/>
      <c r="S632" s="63"/>
      <c r="T632" s="63"/>
      <c r="U632" s="63"/>
      <c r="V632" s="63"/>
      <c r="W632" s="636">
        <v>1.0</v>
      </c>
      <c r="X632" s="634"/>
      <c r="Y632" s="635"/>
      <c r="Z632" s="65"/>
    </row>
    <row r="633" ht="14.25" customHeight="1">
      <c r="B633" s="622"/>
      <c r="C633" s="625"/>
      <c r="D633" s="625"/>
      <c r="G633" s="118" t="s">
        <v>1408</v>
      </c>
      <c r="L633" s="61"/>
      <c r="M633" s="63"/>
      <c r="N633" s="63"/>
      <c r="O633" s="63"/>
      <c r="P633" s="63"/>
      <c r="Q633" s="63"/>
      <c r="R633" s="63"/>
      <c r="S633" s="63"/>
      <c r="T633" s="63"/>
      <c r="U633" s="63"/>
      <c r="V633" s="63"/>
      <c r="W633" s="636">
        <v>0.0</v>
      </c>
      <c r="X633" s="634"/>
      <c r="Y633" s="635"/>
      <c r="Z633" s="65"/>
    </row>
    <row r="634" ht="14.25" customHeight="1">
      <c r="B634" s="622"/>
      <c r="C634" s="625"/>
      <c r="D634" s="625"/>
      <c r="G634" s="118" t="s">
        <v>1408</v>
      </c>
      <c r="L634" s="61"/>
      <c r="M634" s="63"/>
      <c r="N634" s="63"/>
      <c r="O634" s="63"/>
      <c r="P634" s="63"/>
      <c r="Q634" s="63"/>
      <c r="R634" s="63"/>
      <c r="S634" s="63"/>
      <c r="T634" s="63"/>
      <c r="U634" s="63"/>
      <c r="V634" s="63"/>
      <c r="W634" s="636">
        <v>0.0</v>
      </c>
      <c r="X634" s="634"/>
      <c r="Y634" s="635"/>
      <c r="Z634" s="65"/>
    </row>
    <row r="635" ht="14.25" customHeight="1">
      <c r="B635" s="622"/>
      <c r="C635" s="625"/>
      <c r="D635" s="625"/>
      <c r="L635" s="61"/>
      <c r="M635" s="63"/>
      <c r="N635" s="63"/>
      <c r="O635" s="63"/>
      <c r="P635" s="63"/>
      <c r="Q635" s="63"/>
      <c r="R635" s="63"/>
      <c r="S635" s="63"/>
      <c r="T635" s="63"/>
      <c r="U635" s="63"/>
      <c r="V635" s="63"/>
      <c r="W635" s="636"/>
      <c r="X635" s="634"/>
      <c r="Y635" s="635"/>
      <c r="Z635" s="65"/>
    </row>
    <row r="636" ht="14.25" customHeight="1">
      <c r="B636" s="624"/>
      <c r="C636" s="625"/>
      <c r="D636" s="625"/>
      <c r="L636" s="61"/>
      <c r="M636" s="63"/>
      <c r="N636" s="63"/>
      <c r="O636" s="63"/>
      <c r="P636" s="63"/>
      <c r="Q636" s="63"/>
      <c r="R636" s="63"/>
      <c r="S636" s="63"/>
      <c r="T636" s="63"/>
      <c r="U636" s="63"/>
      <c r="V636" s="63"/>
      <c r="W636" s="636"/>
      <c r="X636" s="634"/>
      <c r="Y636" s="635"/>
      <c r="Z636" s="65"/>
    </row>
    <row r="637" ht="14.25" customHeight="1">
      <c r="B637" s="637" t="s">
        <v>1503</v>
      </c>
      <c r="C637" s="627"/>
      <c r="D637" s="627"/>
      <c r="E637" s="118" t="s">
        <v>866</v>
      </c>
      <c r="F637" s="118" t="s">
        <v>1504</v>
      </c>
      <c r="L637" s="61"/>
      <c r="M637" s="63"/>
      <c r="N637" s="63"/>
      <c r="O637" s="63"/>
      <c r="P637" s="63"/>
      <c r="Q637" s="63"/>
      <c r="R637" s="63"/>
      <c r="S637" s="63"/>
      <c r="T637" s="63"/>
      <c r="U637" s="63"/>
      <c r="V637" s="63"/>
      <c r="W637" s="636"/>
      <c r="X637" s="634"/>
      <c r="Y637" s="635"/>
      <c r="Z637" s="65"/>
    </row>
    <row r="638" ht="14.25" customHeight="1">
      <c r="B638" s="637" t="s">
        <v>1505</v>
      </c>
      <c r="C638" s="627"/>
      <c r="D638" s="627"/>
      <c r="F638" s="118" t="s">
        <v>1506</v>
      </c>
      <c r="L638" s="61"/>
      <c r="M638" s="63"/>
      <c r="N638" s="63"/>
      <c r="O638" s="63"/>
      <c r="P638" s="63"/>
      <c r="Q638" s="63"/>
      <c r="R638" s="63"/>
      <c r="S638" s="63"/>
      <c r="T638" s="63"/>
      <c r="U638" s="63"/>
      <c r="V638" s="63"/>
      <c r="W638" s="636">
        <v>7077.0</v>
      </c>
      <c r="X638" s="634"/>
      <c r="Y638" s="635"/>
      <c r="Z638" s="65"/>
    </row>
    <row r="639" ht="14.25" customHeight="1">
      <c r="B639" s="637"/>
      <c r="C639" s="627"/>
      <c r="D639" s="627"/>
      <c r="F639" s="118" t="s">
        <v>845</v>
      </c>
      <c r="G639" s="118" t="s">
        <v>1507</v>
      </c>
      <c r="L639" s="61"/>
      <c r="M639" s="63"/>
      <c r="N639" s="63"/>
      <c r="O639" s="63"/>
      <c r="P639" s="63"/>
      <c r="Q639" s="63"/>
      <c r="R639" s="63"/>
      <c r="S639" s="63"/>
      <c r="T639" s="63"/>
      <c r="U639" s="63"/>
      <c r="V639" s="63"/>
      <c r="W639" s="636">
        <v>2624.0</v>
      </c>
      <c r="X639" s="634"/>
      <c r="Y639" s="635"/>
      <c r="Z639" s="65"/>
    </row>
    <row r="640" ht="14.25" customHeight="1">
      <c r="B640" s="637"/>
      <c r="C640" s="627"/>
      <c r="D640" s="627"/>
      <c r="F640" s="118" t="s">
        <v>847</v>
      </c>
      <c r="G640" s="118" t="s">
        <v>1498</v>
      </c>
      <c r="L640" s="61"/>
      <c r="M640" s="63"/>
      <c r="N640" s="63"/>
      <c r="O640" s="63"/>
      <c r="P640" s="63"/>
      <c r="Q640" s="63"/>
      <c r="R640" s="63"/>
      <c r="S640" s="63"/>
      <c r="T640" s="63"/>
      <c r="U640" s="63"/>
      <c r="V640" s="63"/>
      <c r="W640" s="636">
        <v>625.0</v>
      </c>
      <c r="X640" s="634"/>
      <c r="Y640" s="635"/>
      <c r="Z640" s="65"/>
    </row>
    <row r="641" ht="14.25" customHeight="1">
      <c r="B641" s="637"/>
      <c r="C641" s="627"/>
      <c r="D641" s="627"/>
      <c r="H641" s="118" t="s">
        <v>1508</v>
      </c>
      <c r="L641" s="61"/>
      <c r="M641" s="63"/>
      <c r="N641" s="63"/>
      <c r="O641" s="63"/>
      <c r="P641" s="63"/>
      <c r="Q641" s="63"/>
      <c r="R641" s="63"/>
      <c r="S641" s="63"/>
      <c r="T641" s="63"/>
      <c r="U641" s="63"/>
      <c r="V641" s="63"/>
      <c r="W641" s="636"/>
      <c r="X641" s="634"/>
      <c r="Y641" s="635"/>
      <c r="Z641" s="65"/>
    </row>
    <row r="642" ht="14.25" customHeight="1">
      <c r="B642" s="637"/>
      <c r="C642" s="627"/>
      <c r="D642" s="627"/>
      <c r="H642" s="118" t="s">
        <v>1509</v>
      </c>
      <c r="L642" s="61"/>
      <c r="M642" s="63"/>
      <c r="N642" s="63"/>
      <c r="O642" s="63"/>
      <c r="P642" s="63"/>
      <c r="Q642" s="63"/>
      <c r="R642" s="63"/>
      <c r="S642" s="63"/>
      <c r="T642" s="63"/>
      <c r="U642" s="63"/>
      <c r="V642" s="63"/>
      <c r="W642" s="636"/>
      <c r="X642" s="634"/>
      <c r="Y642" s="635"/>
      <c r="Z642" s="65"/>
    </row>
    <row r="643" ht="14.25" customHeight="1">
      <c r="B643" s="637"/>
      <c r="C643" s="627"/>
      <c r="D643" s="627"/>
      <c r="F643" s="118" t="s">
        <v>849</v>
      </c>
      <c r="G643" s="118" t="s">
        <v>1244</v>
      </c>
      <c r="L643" s="61"/>
      <c r="M643" s="63"/>
      <c r="N643" s="63"/>
      <c r="O643" s="63"/>
      <c r="P643" s="63"/>
      <c r="Q643" s="63"/>
      <c r="R643" s="63"/>
      <c r="S643" s="63"/>
      <c r="T643" s="63"/>
      <c r="U643" s="63"/>
      <c r="V643" s="63"/>
      <c r="W643" s="636">
        <v>395.0</v>
      </c>
      <c r="X643" s="634"/>
      <c r="Y643" s="635"/>
      <c r="Z643" s="65"/>
    </row>
    <row r="644" ht="14.25" customHeight="1">
      <c r="B644" s="637"/>
      <c r="C644" s="627"/>
      <c r="D644" s="627"/>
      <c r="H644" s="118" t="s">
        <v>1510</v>
      </c>
      <c r="L644" s="61"/>
      <c r="M644" s="63"/>
      <c r="N644" s="63"/>
      <c r="O644" s="63"/>
      <c r="P644" s="63"/>
      <c r="Q644" s="63"/>
      <c r="R644" s="63"/>
      <c r="S644" s="63"/>
      <c r="T644" s="63"/>
      <c r="U644" s="63"/>
      <c r="V644" s="63"/>
      <c r="W644" s="636"/>
      <c r="X644" s="634"/>
      <c r="Y644" s="635"/>
      <c r="Z644" s="65"/>
    </row>
    <row r="645" ht="14.25" customHeight="1">
      <c r="B645" s="637"/>
      <c r="C645" s="627"/>
      <c r="D645" s="627"/>
      <c r="F645" s="118" t="s">
        <v>858</v>
      </c>
      <c r="G645" s="118" t="s">
        <v>1500</v>
      </c>
      <c r="L645" s="61"/>
      <c r="M645" s="63"/>
      <c r="N645" s="63"/>
      <c r="O645" s="63"/>
      <c r="P645" s="63"/>
      <c r="Q645" s="63"/>
      <c r="R645" s="63"/>
      <c r="S645" s="63"/>
      <c r="T645" s="63"/>
      <c r="U645" s="63"/>
      <c r="V645" s="63"/>
      <c r="W645" s="636">
        <v>2802.0</v>
      </c>
      <c r="X645" s="634"/>
      <c r="Y645" s="635"/>
      <c r="Z645" s="65"/>
    </row>
    <row r="646" ht="14.25" customHeight="1">
      <c r="B646" s="637"/>
      <c r="C646" s="627"/>
      <c r="D646" s="627"/>
      <c r="H646" s="118" t="s">
        <v>1510</v>
      </c>
      <c r="L646" s="61"/>
      <c r="M646" s="63"/>
      <c r="N646" s="63"/>
      <c r="O646" s="63"/>
      <c r="P646" s="63"/>
      <c r="Q646" s="63"/>
      <c r="R646" s="63"/>
      <c r="S646" s="63"/>
      <c r="T646" s="63"/>
      <c r="U646" s="63"/>
      <c r="V646" s="63"/>
      <c r="W646" s="636"/>
      <c r="X646" s="634"/>
      <c r="Y646" s="635"/>
      <c r="Z646" s="65"/>
    </row>
    <row r="647" ht="14.25" customHeight="1">
      <c r="B647" s="637"/>
      <c r="C647" s="627"/>
      <c r="D647" s="627"/>
      <c r="H647" s="118" t="s">
        <v>1511</v>
      </c>
      <c r="L647" s="61"/>
      <c r="M647" s="63"/>
      <c r="N647" s="63"/>
      <c r="O647" s="63"/>
      <c r="P647" s="63"/>
      <c r="Q647" s="63"/>
      <c r="R647" s="63"/>
      <c r="S647" s="63"/>
      <c r="T647" s="63"/>
      <c r="U647" s="63"/>
      <c r="V647" s="63"/>
      <c r="W647" s="636"/>
      <c r="X647" s="634"/>
      <c r="Y647" s="635"/>
      <c r="Z647" s="65"/>
    </row>
    <row r="648" ht="14.25" customHeight="1">
      <c r="B648" s="637"/>
      <c r="C648" s="627"/>
      <c r="D648" s="627"/>
      <c r="H648" s="118" t="s">
        <v>1512</v>
      </c>
      <c r="L648" s="61"/>
      <c r="M648" s="63"/>
      <c r="N648" s="63"/>
      <c r="O648" s="63"/>
      <c r="P648" s="63"/>
      <c r="Q648" s="63"/>
      <c r="R648" s="63"/>
      <c r="S648" s="63"/>
      <c r="T648" s="63"/>
      <c r="U648" s="63"/>
      <c r="V648" s="63"/>
      <c r="W648" s="636"/>
      <c r="X648" s="634"/>
      <c r="Y648" s="635"/>
      <c r="Z648" s="65"/>
    </row>
    <row r="649" ht="14.25" customHeight="1">
      <c r="B649" s="637"/>
      <c r="C649" s="627"/>
      <c r="D649" s="627"/>
      <c r="F649" s="118" t="s">
        <v>860</v>
      </c>
      <c r="G649" s="118" t="s">
        <v>1501</v>
      </c>
      <c r="L649" s="61"/>
      <c r="M649" s="63"/>
      <c r="N649" s="63"/>
      <c r="O649" s="63"/>
      <c r="P649" s="63"/>
      <c r="Q649" s="63"/>
      <c r="R649" s="63"/>
      <c r="S649" s="63"/>
      <c r="T649" s="63"/>
      <c r="U649" s="63"/>
      <c r="V649" s="63"/>
      <c r="W649" s="636">
        <v>0.0</v>
      </c>
      <c r="X649" s="634"/>
      <c r="Y649" s="635"/>
      <c r="Z649" s="65"/>
    </row>
    <row r="650" ht="14.25" customHeight="1">
      <c r="B650" s="637"/>
      <c r="C650" s="627"/>
      <c r="D650" s="627"/>
      <c r="H650" s="118" t="s">
        <v>1513</v>
      </c>
      <c r="L650" s="61"/>
      <c r="M650" s="63"/>
      <c r="N650" s="63"/>
      <c r="O650" s="63"/>
      <c r="P650" s="63"/>
      <c r="Q650" s="63"/>
      <c r="R650" s="63"/>
      <c r="S650" s="63"/>
      <c r="T650" s="63"/>
      <c r="U650" s="63"/>
      <c r="V650" s="63"/>
      <c r="W650" s="636"/>
      <c r="X650" s="634"/>
      <c r="Y650" s="635"/>
      <c r="Z650" s="65"/>
    </row>
    <row r="651" ht="14.25" customHeight="1">
      <c r="B651" s="637"/>
      <c r="C651" s="627"/>
      <c r="D651" s="627"/>
      <c r="H651" s="118" t="s">
        <v>1514</v>
      </c>
      <c r="L651" s="61"/>
      <c r="M651" s="63"/>
      <c r="N651" s="63"/>
      <c r="O651" s="63"/>
      <c r="P651" s="63"/>
      <c r="Q651" s="63"/>
      <c r="R651" s="63"/>
      <c r="S651" s="63"/>
      <c r="T651" s="63"/>
      <c r="U651" s="63"/>
      <c r="V651" s="63"/>
      <c r="W651" s="636"/>
      <c r="X651" s="634"/>
      <c r="Y651" s="635"/>
      <c r="Z651" s="65"/>
    </row>
    <row r="652" ht="14.25" customHeight="1">
      <c r="B652" s="637"/>
      <c r="C652" s="627"/>
      <c r="D652" s="627"/>
      <c r="H652" s="118" t="s">
        <v>1510</v>
      </c>
      <c r="L652" s="61"/>
      <c r="M652" s="63"/>
      <c r="N652" s="63"/>
      <c r="O652" s="63"/>
      <c r="P652" s="63"/>
      <c r="Q652" s="63"/>
      <c r="R652" s="63"/>
      <c r="S652" s="63"/>
      <c r="T652" s="63"/>
      <c r="U652" s="63"/>
      <c r="V652" s="63"/>
      <c r="W652" s="636"/>
      <c r="X652" s="634"/>
      <c r="Y652" s="635"/>
      <c r="Z652" s="65"/>
    </row>
    <row r="653" ht="14.25" customHeight="1">
      <c r="B653" s="637"/>
      <c r="C653" s="627"/>
      <c r="D653" s="627"/>
      <c r="H653" s="118" t="s">
        <v>1511</v>
      </c>
      <c r="L653" s="61"/>
      <c r="M653" s="63"/>
      <c r="N653" s="63"/>
      <c r="O653" s="63"/>
      <c r="P653" s="63"/>
      <c r="Q653" s="63"/>
      <c r="R653" s="63"/>
      <c r="S653" s="63"/>
      <c r="T653" s="63"/>
      <c r="U653" s="63"/>
      <c r="V653" s="63"/>
      <c r="W653" s="636"/>
      <c r="X653" s="634"/>
      <c r="Y653" s="635"/>
      <c r="Z653" s="65"/>
    </row>
    <row r="654" ht="14.25" customHeight="1">
      <c r="B654" s="637"/>
      <c r="C654" s="627"/>
      <c r="D654" s="627"/>
      <c r="H654" s="118" t="s">
        <v>1512</v>
      </c>
      <c r="L654" s="61"/>
      <c r="M654" s="63"/>
      <c r="N654" s="63"/>
      <c r="O654" s="63"/>
      <c r="P654" s="63"/>
      <c r="Q654" s="63"/>
      <c r="R654" s="63"/>
      <c r="S654" s="63"/>
      <c r="T654" s="63"/>
      <c r="U654" s="63"/>
      <c r="V654" s="63"/>
      <c r="W654" s="636"/>
      <c r="X654" s="634"/>
      <c r="Y654" s="635"/>
      <c r="Z654" s="65"/>
    </row>
    <row r="655" ht="14.25" customHeight="1">
      <c r="B655" s="637"/>
      <c r="C655" s="627"/>
      <c r="D655" s="627"/>
      <c r="F655" s="118" t="s">
        <v>862</v>
      </c>
      <c r="G655" s="118" t="s">
        <v>161</v>
      </c>
      <c r="L655" s="61"/>
      <c r="M655" s="63"/>
      <c r="N655" s="63"/>
      <c r="O655" s="63"/>
      <c r="P655" s="63"/>
      <c r="Q655" s="63"/>
      <c r="R655" s="63"/>
      <c r="S655" s="63"/>
      <c r="T655" s="63"/>
      <c r="U655" s="63"/>
      <c r="V655" s="63"/>
      <c r="W655" s="636">
        <v>631.0</v>
      </c>
      <c r="X655" s="634"/>
      <c r="Y655" s="635"/>
      <c r="Z655" s="65"/>
    </row>
    <row r="656" ht="14.25" customHeight="1">
      <c r="B656" s="637"/>
      <c r="C656" s="627"/>
      <c r="D656" s="627"/>
      <c r="H656" s="118" t="s">
        <v>1515</v>
      </c>
      <c r="L656" s="61"/>
      <c r="M656" s="63"/>
      <c r="N656" s="63"/>
      <c r="O656" s="63"/>
      <c r="P656" s="63"/>
      <c r="Q656" s="63"/>
      <c r="R656" s="63"/>
      <c r="S656" s="63"/>
      <c r="T656" s="63"/>
      <c r="U656" s="63"/>
      <c r="V656" s="63"/>
      <c r="W656" s="636"/>
      <c r="X656" s="634"/>
      <c r="Y656" s="635"/>
      <c r="Z656" s="65"/>
    </row>
    <row r="657" ht="14.25" customHeight="1">
      <c r="B657" s="637"/>
      <c r="C657" s="627"/>
      <c r="D657" s="627"/>
      <c r="H657" s="118" t="s">
        <v>1516</v>
      </c>
      <c r="L657" s="61"/>
      <c r="M657" s="63"/>
      <c r="N657" s="63"/>
      <c r="O657" s="63"/>
      <c r="P657" s="63"/>
      <c r="Q657" s="63"/>
      <c r="R657" s="63"/>
      <c r="S657" s="63"/>
      <c r="T657" s="63"/>
      <c r="U657" s="63"/>
      <c r="V657" s="63"/>
      <c r="W657" s="636"/>
      <c r="X657" s="634"/>
      <c r="Y657" s="635"/>
      <c r="Z657" s="65"/>
    </row>
    <row r="658" ht="14.25" customHeight="1">
      <c r="B658" s="637"/>
      <c r="C658" s="627"/>
      <c r="D658" s="627"/>
      <c r="H658" s="118" t="s">
        <v>1517</v>
      </c>
      <c r="L658" s="61"/>
      <c r="M658" s="63"/>
      <c r="N658" s="63"/>
      <c r="O658" s="63"/>
      <c r="P658" s="63"/>
      <c r="Q658" s="63"/>
      <c r="R658" s="63"/>
      <c r="S658" s="63"/>
      <c r="T658" s="63"/>
      <c r="U658" s="63"/>
      <c r="V658" s="63"/>
      <c r="W658" s="636"/>
      <c r="X658" s="634"/>
      <c r="Y658" s="635"/>
      <c r="Z658" s="65"/>
    </row>
    <row r="659" ht="14.25" customHeight="1">
      <c r="B659" s="637"/>
      <c r="C659" s="627"/>
      <c r="D659" s="627"/>
      <c r="F659" s="118" t="s">
        <v>914</v>
      </c>
      <c r="G659" s="118" t="s">
        <v>963</v>
      </c>
      <c r="L659" s="61"/>
      <c r="M659" s="63"/>
      <c r="N659" s="63"/>
      <c r="O659" s="63"/>
      <c r="P659" s="63"/>
      <c r="Q659" s="63"/>
      <c r="R659" s="63"/>
      <c r="S659" s="63"/>
      <c r="T659" s="63"/>
      <c r="U659" s="63"/>
      <c r="V659" s="63"/>
      <c r="W659" s="636">
        <v>0.0</v>
      </c>
      <c r="X659" s="634"/>
      <c r="Y659" s="635"/>
      <c r="Z659" s="65"/>
    </row>
    <row r="660" ht="14.25" customHeight="1">
      <c r="B660" s="637"/>
      <c r="C660" s="627"/>
      <c r="D660" s="627"/>
      <c r="H660" s="118" t="s">
        <v>1480</v>
      </c>
      <c r="L660" s="61"/>
      <c r="M660" s="63"/>
      <c r="N660" s="63"/>
      <c r="O660" s="63"/>
      <c r="P660" s="63"/>
      <c r="Q660" s="63"/>
      <c r="R660" s="63"/>
      <c r="S660" s="63"/>
      <c r="T660" s="63"/>
      <c r="U660" s="63"/>
      <c r="V660" s="63"/>
      <c r="W660" s="636">
        <v>0.0</v>
      </c>
      <c r="X660" s="634"/>
      <c r="Y660" s="635"/>
      <c r="Z660" s="65"/>
    </row>
    <row r="661" ht="14.25" customHeight="1">
      <c r="B661" s="637"/>
      <c r="C661" s="627"/>
      <c r="D661" s="627"/>
      <c r="H661" s="118" t="s">
        <v>1480</v>
      </c>
      <c r="L661" s="61"/>
      <c r="M661" s="63"/>
      <c r="N661" s="63"/>
      <c r="O661" s="63"/>
      <c r="P661" s="63"/>
      <c r="Q661" s="63"/>
      <c r="R661" s="63"/>
      <c r="S661" s="63"/>
      <c r="T661" s="63"/>
      <c r="U661" s="63"/>
      <c r="V661" s="63"/>
      <c r="W661" s="636">
        <v>0.0</v>
      </c>
      <c r="X661" s="634"/>
      <c r="Y661" s="635"/>
      <c r="Z661" s="65"/>
    </row>
    <row r="662" ht="14.25" customHeight="1">
      <c r="B662" s="637"/>
      <c r="C662" s="627"/>
      <c r="D662" s="627"/>
      <c r="H662" s="118" t="s">
        <v>1480</v>
      </c>
      <c r="L662" s="61"/>
      <c r="M662" s="63"/>
      <c r="N662" s="63"/>
      <c r="O662" s="63"/>
      <c r="P662" s="63"/>
      <c r="Q662" s="63"/>
      <c r="R662" s="63"/>
      <c r="S662" s="63"/>
      <c r="T662" s="63"/>
      <c r="U662" s="63"/>
      <c r="V662" s="63"/>
      <c r="W662" s="636">
        <v>0.0</v>
      </c>
      <c r="X662" s="634"/>
      <c r="Y662" s="635"/>
      <c r="Z662" s="65"/>
    </row>
    <row r="663" ht="14.25" customHeight="1">
      <c r="B663" s="637"/>
      <c r="C663" s="627"/>
      <c r="D663" s="627"/>
      <c r="E663" s="118" t="s">
        <v>906</v>
      </c>
      <c r="F663" s="118" t="s">
        <v>1518</v>
      </c>
      <c r="L663" s="61"/>
      <c r="M663" s="63"/>
      <c r="N663" s="63"/>
      <c r="O663" s="63"/>
      <c r="P663" s="63"/>
      <c r="Q663" s="63"/>
      <c r="R663" s="63"/>
      <c r="S663" s="63"/>
      <c r="T663" s="63"/>
      <c r="U663" s="63"/>
      <c r="V663" s="63"/>
      <c r="W663" s="636">
        <v>7205.0</v>
      </c>
      <c r="X663" s="634"/>
      <c r="Y663" s="635"/>
      <c r="Z663" s="65"/>
    </row>
    <row r="664" ht="14.25" customHeight="1">
      <c r="B664" s="637"/>
      <c r="C664" s="627"/>
      <c r="D664" s="627"/>
      <c r="F664" s="118" t="s">
        <v>845</v>
      </c>
      <c r="G664" s="118" t="s">
        <v>1507</v>
      </c>
      <c r="L664" s="61"/>
      <c r="M664" s="63"/>
      <c r="N664" s="63"/>
      <c r="O664" s="63"/>
      <c r="P664" s="63"/>
      <c r="Q664" s="63"/>
      <c r="R664" s="63"/>
      <c r="S664" s="63"/>
      <c r="T664" s="63"/>
      <c r="U664" s="63"/>
      <c r="V664" s="63"/>
      <c r="W664" s="636">
        <v>2728.0</v>
      </c>
      <c r="X664" s="634"/>
      <c r="Y664" s="635"/>
      <c r="Z664" s="65"/>
    </row>
    <row r="665" ht="14.25" customHeight="1">
      <c r="B665" s="637"/>
      <c r="C665" s="627"/>
      <c r="D665" s="627"/>
      <c r="G665" s="118" t="s">
        <v>368</v>
      </c>
      <c r="H665" s="118" t="s">
        <v>1416</v>
      </c>
      <c r="L665" s="61"/>
      <c r="M665" s="63"/>
      <c r="N665" s="63"/>
      <c r="O665" s="63"/>
      <c r="P665" s="63"/>
      <c r="Q665" s="63"/>
      <c r="R665" s="63"/>
      <c r="S665" s="63"/>
      <c r="T665" s="63"/>
      <c r="U665" s="63"/>
      <c r="V665" s="63"/>
      <c r="W665" s="636">
        <v>303.0</v>
      </c>
      <c r="X665" s="634"/>
      <c r="Y665" s="635"/>
      <c r="Z665" s="65"/>
    </row>
    <row r="666" ht="14.25" customHeight="1">
      <c r="B666" s="637"/>
      <c r="C666" s="627"/>
      <c r="D666" s="627"/>
      <c r="G666" s="118" t="s">
        <v>368</v>
      </c>
      <c r="H666" s="118" t="s">
        <v>1519</v>
      </c>
      <c r="L666" s="61"/>
      <c r="M666" s="63"/>
      <c r="N666" s="63"/>
      <c r="O666" s="63"/>
      <c r="P666" s="63"/>
      <c r="Q666" s="63"/>
      <c r="R666" s="63"/>
      <c r="S666" s="63"/>
      <c r="T666" s="63"/>
      <c r="U666" s="63"/>
      <c r="V666" s="63"/>
      <c r="W666" s="636">
        <v>2180.0</v>
      </c>
      <c r="X666" s="634"/>
      <c r="Y666" s="635"/>
      <c r="Z666" s="65"/>
    </row>
    <row r="667" ht="14.25" customHeight="1">
      <c r="B667" s="637"/>
      <c r="C667" s="627"/>
      <c r="D667" s="627"/>
      <c r="G667" s="118" t="s">
        <v>368</v>
      </c>
      <c r="H667" s="118" t="s">
        <v>1520</v>
      </c>
      <c r="L667" s="61"/>
      <c r="M667" s="63"/>
      <c r="N667" s="63"/>
      <c r="O667" s="63"/>
      <c r="P667" s="63"/>
      <c r="Q667" s="63"/>
      <c r="R667" s="63"/>
      <c r="S667" s="63"/>
      <c r="T667" s="63"/>
      <c r="U667" s="63"/>
      <c r="V667" s="63"/>
      <c r="W667" s="636">
        <v>59.0</v>
      </c>
      <c r="X667" s="634"/>
      <c r="Y667" s="635"/>
      <c r="Z667" s="65"/>
    </row>
    <row r="668" ht="14.25" customHeight="1">
      <c r="B668" s="637"/>
      <c r="C668" s="627"/>
      <c r="D668" s="627"/>
      <c r="G668" s="118" t="s">
        <v>368</v>
      </c>
      <c r="H668" s="118" t="s">
        <v>961</v>
      </c>
      <c r="L668" s="61"/>
      <c r="M668" s="63"/>
      <c r="N668" s="63"/>
      <c r="O668" s="63"/>
      <c r="P668" s="63"/>
      <c r="Q668" s="63"/>
      <c r="R668" s="63"/>
      <c r="S668" s="63"/>
      <c r="T668" s="63"/>
      <c r="U668" s="63"/>
      <c r="V668" s="63"/>
      <c r="W668" s="636">
        <v>3.0</v>
      </c>
      <c r="X668" s="634"/>
      <c r="Y668" s="635"/>
      <c r="Z668" s="65"/>
    </row>
    <row r="669" ht="14.25" customHeight="1">
      <c r="B669" s="637"/>
      <c r="C669" s="627"/>
      <c r="D669" s="627"/>
      <c r="G669" s="118" t="s">
        <v>368</v>
      </c>
      <c r="H669" s="118" t="s">
        <v>963</v>
      </c>
      <c r="L669" s="61"/>
      <c r="M669" s="63"/>
      <c r="N669" s="63"/>
      <c r="O669" s="63"/>
      <c r="P669" s="63"/>
      <c r="Q669" s="63"/>
      <c r="R669" s="63"/>
      <c r="S669" s="63"/>
      <c r="T669" s="63"/>
      <c r="U669" s="63"/>
      <c r="V669" s="63"/>
      <c r="W669" s="636">
        <v>183.0</v>
      </c>
      <c r="X669" s="634"/>
      <c r="Y669" s="635"/>
      <c r="Z669" s="65"/>
    </row>
    <row r="670" ht="14.25" customHeight="1">
      <c r="B670" s="637"/>
      <c r="C670" s="627"/>
      <c r="D670" s="627"/>
      <c r="I670" s="118" t="s">
        <v>915</v>
      </c>
      <c r="L670" s="61"/>
      <c r="M670" s="63"/>
      <c r="N670" s="63"/>
      <c r="O670" s="63"/>
      <c r="P670" s="63"/>
      <c r="Q670" s="63"/>
      <c r="R670" s="63"/>
      <c r="S670" s="63"/>
      <c r="T670" s="63"/>
      <c r="U670" s="63"/>
      <c r="V670" s="63"/>
      <c r="W670" s="636">
        <v>5.0</v>
      </c>
      <c r="X670" s="634"/>
      <c r="Y670" s="635"/>
      <c r="Z670" s="65"/>
    </row>
    <row r="671" ht="14.25" customHeight="1">
      <c r="B671" s="637"/>
      <c r="C671" s="627"/>
      <c r="D671" s="627"/>
      <c r="I671" s="118" t="s">
        <v>1521</v>
      </c>
      <c r="L671" s="61"/>
      <c r="M671" s="63"/>
      <c r="N671" s="63"/>
      <c r="O671" s="63"/>
      <c r="P671" s="63"/>
      <c r="Q671" s="63"/>
      <c r="R671" s="63"/>
      <c r="S671" s="63"/>
      <c r="T671" s="63"/>
      <c r="U671" s="63"/>
      <c r="V671" s="63"/>
      <c r="W671" s="636">
        <v>3.0</v>
      </c>
      <c r="X671" s="634"/>
      <c r="Y671" s="635"/>
      <c r="Z671" s="65"/>
    </row>
    <row r="672" ht="14.25" customHeight="1">
      <c r="B672" s="637"/>
      <c r="C672" s="627"/>
      <c r="D672" s="627"/>
      <c r="I672" s="118" t="s">
        <v>1522</v>
      </c>
      <c r="L672" s="61"/>
      <c r="M672" s="63"/>
      <c r="N672" s="63"/>
      <c r="O672" s="63"/>
      <c r="P672" s="63"/>
      <c r="Q672" s="63"/>
      <c r="R672" s="63"/>
      <c r="S672" s="63"/>
      <c r="T672" s="63"/>
      <c r="U672" s="63"/>
      <c r="V672" s="63"/>
      <c r="W672" s="636">
        <v>118.0</v>
      </c>
      <c r="X672" s="634"/>
      <c r="Y672" s="635"/>
      <c r="Z672" s="65"/>
    </row>
    <row r="673" ht="14.25" customHeight="1">
      <c r="B673" s="637" t="s">
        <v>403</v>
      </c>
      <c r="C673" s="627"/>
      <c r="D673" s="627"/>
      <c r="I673" s="118" t="s">
        <v>1033</v>
      </c>
      <c r="L673" s="61"/>
      <c r="M673" s="63"/>
      <c r="N673" s="63"/>
      <c r="O673" s="63"/>
      <c r="P673" s="63"/>
      <c r="Q673" s="63"/>
      <c r="R673" s="63"/>
      <c r="S673" s="63"/>
      <c r="T673" s="63"/>
      <c r="U673" s="63"/>
      <c r="V673" s="63"/>
      <c r="W673" s="636">
        <v>57.0</v>
      </c>
      <c r="X673" s="634"/>
      <c r="Y673" s="635"/>
      <c r="Z673" s="65"/>
    </row>
    <row r="674" ht="14.25" customHeight="1">
      <c r="B674" s="637"/>
      <c r="C674" s="627"/>
      <c r="D674" s="627"/>
      <c r="F674" s="118" t="s">
        <v>847</v>
      </c>
      <c r="G674" s="118" t="s">
        <v>1498</v>
      </c>
      <c r="L674" s="61"/>
      <c r="M674" s="63"/>
      <c r="N674" s="63"/>
      <c r="O674" s="63"/>
      <c r="P674" s="63"/>
      <c r="Q674" s="63"/>
      <c r="R674" s="63"/>
      <c r="S674" s="63"/>
      <c r="T674" s="63"/>
      <c r="U674" s="63"/>
      <c r="V674" s="63"/>
      <c r="W674" s="636">
        <v>639.0</v>
      </c>
      <c r="X674" s="634"/>
      <c r="Y674" s="635"/>
      <c r="Z674" s="65"/>
    </row>
    <row r="675" ht="14.25" customHeight="1">
      <c r="B675" s="637"/>
      <c r="C675" s="627"/>
      <c r="D675" s="627"/>
      <c r="G675" s="118" t="s">
        <v>368</v>
      </c>
      <c r="H675" s="118" t="s">
        <v>1523</v>
      </c>
      <c r="L675" s="61"/>
      <c r="M675" s="63"/>
      <c r="N675" s="63"/>
      <c r="O675" s="63"/>
      <c r="P675" s="63"/>
      <c r="Q675" s="63"/>
      <c r="R675" s="63"/>
      <c r="S675" s="63"/>
      <c r="T675" s="63"/>
      <c r="U675" s="63"/>
      <c r="V675" s="63"/>
      <c r="W675" s="636">
        <v>2.0</v>
      </c>
      <c r="X675" s="634"/>
      <c r="Y675" s="635"/>
      <c r="Z675" s="65"/>
    </row>
    <row r="676" ht="14.25" customHeight="1">
      <c r="B676" s="637"/>
      <c r="C676" s="627"/>
      <c r="D676" s="627"/>
      <c r="G676" s="118" t="s">
        <v>368</v>
      </c>
      <c r="H676" s="118" t="s">
        <v>1524</v>
      </c>
      <c r="L676" s="61"/>
      <c r="M676" s="63"/>
      <c r="N676" s="63"/>
      <c r="O676" s="63"/>
      <c r="P676" s="63"/>
      <c r="Q676" s="63"/>
      <c r="R676" s="63"/>
      <c r="S676" s="63"/>
      <c r="T676" s="63"/>
      <c r="U676" s="63"/>
      <c r="V676" s="63"/>
      <c r="W676" s="636">
        <v>0.0</v>
      </c>
      <c r="X676" s="634"/>
      <c r="Y676" s="635"/>
      <c r="Z676" s="65"/>
    </row>
    <row r="677" ht="14.25" customHeight="1">
      <c r="B677" s="637"/>
      <c r="C677" s="627"/>
      <c r="D677" s="627"/>
      <c r="G677" s="118" t="s">
        <v>368</v>
      </c>
      <c r="H677" s="118" t="s">
        <v>1520</v>
      </c>
      <c r="L677" s="61"/>
      <c r="M677" s="63"/>
      <c r="N677" s="63"/>
      <c r="O677" s="63"/>
      <c r="P677" s="63"/>
      <c r="Q677" s="63"/>
      <c r="R677" s="63"/>
      <c r="S677" s="63"/>
      <c r="T677" s="63"/>
      <c r="U677" s="63"/>
      <c r="V677" s="63"/>
      <c r="W677" s="636">
        <v>1.0</v>
      </c>
      <c r="X677" s="634"/>
      <c r="Y677" s="635"/>
      <c r="Z677" s="65"/>
    </row>
    <row r="678" ht="14.25" customHeight="1">
      <c r="B678" s="637"/>
      <c r="C678" s="627"/>
      <c r="D678" s="627"/>
      <c r="G678" s="118" t="s">
        <v>368</v>
      </c>
      <c r="H678" s="118" t="s">
        <v>961</v>
      </c>
      <c r="L678" s="61"/>
      <c r="M678" s="63"/>
      <c r="N678" s="63"/>
      <c r="O678" s="63"/>
      <c r="P678" s="63"/>
      <c r="Q678" s="63"/>
      <c r="R678" s="63"/>
      <c r="S678" s="63"/>
      <c r="T678" s="63"/>
      <c r="U678" s="63"/>
      <c r="V678" s="63"/>
      <c r="W678" s="636">
        <v>1.0</v>
      </c>
      <c r="X678" s="634"/>
      <c r="Y678" s="635"/>
      <c r="Z678" s="65"/>
    </row>
    <row r="679" ht="14.25" customHeight="1">
      <c r="B679" s="637"/>
      <c r="C679" s="627"/>
      <c r="D679" s="627"/>
      <c r="G679" s="118" t="s">
        <v>368</v>
      </c>
      <c r="H679" s="118" t="s">
        <v>963</v>
      </c>
      <c r="L679" s="61"/>
      <c r="M679" s="63"/>
      <c r="N679" s="63"/>
      <c r="O679" s="63"/>
      <c r="P679" s="63"/>
      <c r="Q679" s="63"/>
      <c r="R679" s="63"/>
      <c r="S679" s="63"/>
      <c r="T679" s="63"/>
      <c r="U679" s="63"/>
      <c r="V679" s="63"/>
      <c r="W679" s="636">
        <v>635.0</v>
      </c>
      <c r="X679" s="634"/>
      <c r="Y679" s="635"/>
      <c r="Z679" s="65"/>
    </row>
    <row r="680" ht="14.25" customHeight="1">
      <c r="B680" s="637"/>
      <c r="C680" s="627"/>
      <c r="D680" s="627"/>
      <c r="I680" s="118" t="s">
        <v>1416</v>
      </c>
      <c r="L680" s="61"/>
      <c r="M680" s="63"/>
      <c r="N680" s="63"/>
      <c r="O680" s="63"/>
      <c r="P680" s="63"/>
      <c r="Q680" s="63"/>
      <c r="R680" s="63"/>
      <c r="S680" s="63"/>
      <c r="T680" s="63"/>
      <c r="U680" s="63"/>
      <c r="V680" s="63"/>
      <c r="W680" s="636">
        <v>31.0</v>
      </c>
      <c r="X680" s="634"/>
      <c r="Y680" s="635"/>
      <c r="Z680" s="65"/>
    </row>
    <row r="681" ht="14.25" customHeight="1">
      <c r="B681" s="637"/>
      <c r="C681" s="627"/>
      <c r="D681" s="627"/>
      <c r="I681" s="118" t="s">
        <v>1033</v>
      </c>
      <c r="L681" s="61"/>
      <c r="M681" s="63"/>
      <c r="N681" s="63"/>
      <c r="O681" s="63"/>
      <c r="P681" s="63"/>
      <c r="Q681" s="63"/>
      <c r="R681" s="63"/>
      <c r="S681" s="63"/>
      <c r="T681" s="63"/>
      <c r="U681" s="63"/>
      <c r="V681" s="63"/>
      <c r="W681" s="636">
        <v>284.0</v>
      </c>
      <c r="X681" s="634"/>
      <c r="Y681" s="635"/>
      <c r="Z681" s="65"/>
    </row>
    <row r="682" ht="14.25" customHeight="1">
      <c r="B682" s="637"/>
      <c r="C682" s="627"/>
      <c r="D682" s="627"/>
      <c r="I682" s="118" t="s">
        <v>1525</v>
      </c>
      <c r="L682" s="61"/>
      <c r="M682" s="63"/>
      <c r="N682" s="63"/>
      <c r="O682" s="63"/>
      <c r="P682" s="63"/>
      <c r="Q682" s="63"/>
      <c r="R682" s="63"/>
      <c r="S682" s="63"/>
      <c r="T682" s="63"/>
      <c r="U682" s="63"/>
      <c r="V682" s="63"/>
      <c r="W682" s="636">
        <v>320.0</v>
      </c>
      <c r="X682" s="634"/>
      <c r="Y682" s="635"/>
      <c r="Z682" s="65"/>
    </row>
    <row r="683" ht="14.25" customHeight="1">
      <c r="B683" s="637"/>
      <c r="C683" s="627"/>
      <c r="D683" s="627"/>
      <c r="F683" s="118" t="s">
        <v>849</v>
      </c>
      <c r="G683" s="118" t="s">
        <v>1244</v>
      </c>
      <c r="L683" s="61"/>
      <c r="M683" s="63"/>
      <c r="N683" s="63"/>
      <c r="O683" s="63"/>
      <c r="P683" s="63"/>
      <c r="Q683" s="63"/>
      <c r="R683" s="63"/>
      <c r="S683" s="63"/>
      <c r="T683" s="63"/>
      <c r="U683" s="63"/>
      <c r="V683" s="63"/>
      <c r="W683" s="636">
        <v>403.0</v>
      </c>
      <c r="X683" s="634"/>
      <c r="Y683" s="635"/>
      <c r="Z683" s="65"/>
    </row>
    <row r="684" ht="14.25" customHeight="1">
      <c r="B684" s="637"/>
      <c r="C684" s="627"/>
      <c r="D684" s="627"/>
      <c r="G684" s="118" t="s">
        <v>368</v>
      </c>
      <c r="H684" s="118" t="s">
        <v>1526</v>
      </c>
      <c r="L684" s="61"/>
      <c r="M684" s="63"/>
      <c r="N684" s="63"/>
      <c r="O684" s="63"/>
      <c r="P684" s="63"/>
      <c r="Q684" s="63"/>
      <c r="R684" s="63"/>
      <c r="S684" s="63"/>
      <c r="T684" s="63"/>
      <c r="U684" s="63"/>
      <c r="V684" s="63"/>
      <c r="W684" s="636">
        <v>0.0</v>
      </c>
      <c r="X684" s="634"/>
      <c r="Y684" s="635"/>
      <c r="Z684" s="65"/>
    </row>
    <row r="685" ht="14.25" customHeight="1">
      <c r="B685" s="637"/>
      <c r="C685" s="627"/>
      <c r="D685" s="627"/>
      <c r="G685" s="118" t="s">
        <v>368</v>
      </c>
      <c r="H685" s="118" t="s">
        <v>1524</v>
      </c>
      <c r="L685" s="61"/>
      <c r="M685" s="63"/>
      <c r="N685" s="63"/>
      <c r="O685" s="63"/>
      <c r="P685" s="63"/>
      <c r="Q685" s="63"/>
      <c r="R685" s="63"/>
      <c r="S685" s="63"/>
      <c r="T685" s="63"/>
      <c r="U685" s="63"/>
      <c r="V685" s="63"/>
      <c r="W685" s="636">
        <v>0.0</v>
      </c>
      <c r="X685" s="634"/>
      <c r="Y685" s="635"/>
      <c r="Z685" s="65"/>
    </row>
    <row r="686" ht="14.25" customHeight="1">
      <c r="B686" s="637"/>
      <c r="C686" s="627"/>
      <c r="D686" s="627"/>
      <c r="G686" s="118" t="s">
        <v>368</v>
      </c>
      <c r="H686" s="118" t="s">
        <v>1520</v>
      </c>
      <c r="L686" s="61"/>
      <c r="M686" s="63"/>
      <c r="N686" s="63"/>
      <c r="O686" s="63"/>
      <c r="P686" s="63"/>
      <c r="Q686" s="63"/>
      <c r="R686" s="63"/>
      <c r="S686" s="63"/>
      <c r="T686" s="63"/>
      <c r="U686" s="63"/>
      <c r="V686" s="63"/>
      <c r="W686" s="636">
        <v>5.0</v>
      </c>
      <c r="X686" s="634"/>
      <c r="Y686" s="635"/>
      <c r="Z686" s="65"/>
    </row>
    <row r="687" ht="14.25" customHeight="1">
      <c r="B687" s="637"/>
      <c r="C687" s="627"/>
      <c r="D687" s="627"/>
      <c r="G687" s="118" t="s">
        <v>368</v>
      </c>
      <c r="H687" s="118" t="s">
        <v>961</v>
      </c>
      <c r="L687" s="61"/>
      <c r="M687" s="63"/>
      <c r="N687" s="63"/>
      <c r="O687" s="63"/>
      <c r="P687" s="63"/>
      <c r="Q687" s="63"/>
      <c r="R687" s="63"/>
      <c r="S687" s="63"/>
      <c r="T687" s="63"/>
      <c r="U687" s="63"/>
      <c r="V687" s="63"/>
      <c r="W687" s="636">
        <v>0.0</v>
      </c>
      <c r="X687" s="634"/>
      <c r="Y687" s="635"/>
      <c r="Z687" s="65"/>
    </row>
    <row r="688" ht="14.25" customHeight="1">
      <c r="B688" s="637"/>
      <c r="C688" s="627"/>
      <c r="D688" s="627"/>
      <c r="G688" s="118" t="s">
        <v>368</v>
      </c>
      <c r="H688" s="118" t="s">
        <v>963</v>
      </c>
      <c r="L688" s="61"/>
      <c r="M688" s="63"/>
      <c r="N688" s="63"/>
      <c r="O688" s="63"/>
      <c r="P688" s="63"/>
      <c r="Q688" s="63"/>
      <c r="R688" s="63"/>
      <c r="S688" s="63"/>
      <c r="T688" s="63"/>
      <c r="U688" s="63"/>
      <c r="V688" s="63"/>
      <c r="W688" s="636">
        <v>398.0</v>
      </c>
      <c r="X688" s="634"/>
      <c r="Y688" s="635"/>
      <c r="Z688" s="65"/>
    </row>
    <row r="689" ht="14.25" customHeight="1">
      <c r="B689" s="637"/>
      <c r="C689" s="627"/>
      <c r="D689" s="627"/>
      <c r="I689" s="118" t="s">
        <v>1525</v>
      </c>
      <c r="L689" s="61"/>
      <c r="M689" s="63"/>
      <c r="N689" s="63"/>
      <c r="O689" s="63"/>
      <c r="P689" s="63"/>
      <c r="Q689" s="63"/>
      <c r="R689" s="63"/>
      <c r="S689" s="63"/>
      <c r="T689" s="63"/>
      <c r="U689" s="63"/>
      <c r="V689" s="63"/>
      <c r="W689" s="636">
        <v>70.0</v>
      </c>
      <c r="X689" s="634"/>
      <c r="Y689" s="635"/>
      <c r="Z689" s="65"/>
    </row>
    <row r="690" ht="14.25" customHeight="1">
      <c r="B690" s="637"/>
      <c r="C690" s="627"/>
      <c r="D690" s="627"/>
      <c r="I690" s="118" t="s">
        <v>1416</v>
      </c>
      <c r="L690" s="61"/>
      <c r="M690" s="63"/>
      <c r="N690" s="63"/>
      <c r="O690" s="63"/>
      <c r="P690" s="63"/>
      <c r="Q690" s="63"/>
      <c r="R690" s="63"/>
      <c r="S690" s="63"/>
      <c r="T690" s="63"/>
      <c r="U690" s="63"/>
      <c r="V690" s="63"/>
      <c r="W690" s="636">
        <v>21.0</v>
      </c>
      <c r="X690" s="634"/>
      <c r="Y690" s="635"/>
      <c r="Z690" s="65"/>
    </row>
    <row r="691" ht="14.25" customHeight="1">
      <c r="B691" s="637"/>
      <c r="C691" s="627"/>
      <c r="D691" s="627"/>
      <c r="I691" s="118" t="s">
        <v>1033</v>
      </c>
      <c r="L691" s="61"/>
      <c r="M691" s="63"/>
      <c r="N691" s="63"/>
      <c r="O691" s="63"/>
      <c r="P691" s="63"/>
      <c r="Q691" s="63"/>
      <c r="R691" s="63"/>
      <c r="S691" s="63"/>
      <c r="T691" s="63"/>
      <c r="U691" s="63"/>
      <c r="V691" s="63"/>
      <c r="W691" s="636">
        <v>307.0</v>
      </c>
      <c r="X691" s="634"/>
      <c r="Y691" s="635"/>
      <c r="Z691" s="65"/>
    </row>
    <row r="692" ht="14.25" customHeight="1">
      <c r="B692" s="637"/>
      <c r="C692" s="627"/>
      <c r="D692" s="627"/>
      <c r="F692" s="118" t="s">
        <v>858</v>
      </c>
      <c r="G692" s="118" t="s">
        <v>1500</v>
      </c>
      <c r="L692" s="61"/>
      <c r="M692" s="63"/>
      <c r="N692" s="63"/>
      <c r="O692" s="63"/>
      <c r="P692" s="63"/>
      <c r="Q692" s="63"/>
      <c r="R692" s="63"/>
      <c r="S692" s="63"/>
      <c r="T692" s="63"/>
      <c r="U692" s="63"/>
      <c r="V692" s="63"/>
      <c r="W692" s="636">
        <v>1047.0</v>
      </c>
      <c r="X692" s="634"/>
      <c r="Y692" s="635"/>
      <c r="Z692" s="65"/>
    </row>
    <row r="693" ht="14.25" customHeight="1">
      <c r="B693" s="637"/>
      <c r="C693" s="627"/>
      <c r="D693" s="627"/>
      <c r="G693" s="118" t="s">
        <v>368</v>
      </c>
      <c r="H693" s="118" t="s">
        <v>961</v>
      </c>
      <c r="L693" s="61"/>
      <c r="M693" s="63"/>
      <c r="N693" s="63"/>
      <c r="O693" s="63"/>
      <c r="P693" s="63"/>
      <c r="Q693" s="63"/>
      <c r="R693" s="63"/>
      <c r="S693" s="63"/>
      <c r="T693" s="63"/>
      <c r="U693" s="63"/>
      <c r="V693" s="63"/>
      <c r="W693" s="636">
        <v>12.0</v>
      </c>
      <c r="X693" s="634"/>
      <c r="Y693" s="635"/>
      <c r="Z693" s="65"/>
    </row>
    <row r="694" ht="14.25" customHeight="1">
      <c r="B694" s="637"/>
      <c r="C694" s="627"/>
      <c r="D694" s="627"/>
      <c r="G694" s="118" t="s">
        <v>368</v>
      </c>
      <c r="H694" s="118" t="s">
        <v>1527</v>
      </c>
      <c r="L694" s="61"/>
      <c r="M694" s="63"/>
      <c r="N694" s="63"/>
      <c r="O694" s="63"/>
      <c r="P694" s="63"/>
      <c r="Q694" s="63"/>
      <c r="R694" s="63"/>
      <c r="S694" s="63"/>
      <c r="T694" s="63"/>
      <c r="U694" s="63"/>
      <c r="V694" s="63"/>
      <c r="W694" s="636">
        <v>137.0</v>
      </c>
      <c r="X694" s="634"/>
      <c r="Y694" s="635"/>
      <c r="Z694" s="65"/>
    </row>
    <row r="695" ht="14.25" customHeight="1">
      <c r="B695" s="637"/>
      <c r="C695" s="627"/>
      <c r="D695" s="627"/>
      <c r="G695" s="118" t="s">
        <v>368</v>
      </c>
      <c r="H695" s="118" t="s">
        <v>1520</v>
      </c>
      <c r="L695" s="61"/>
      <c r="M695" s="63"/>
      <c r="N695" s="63"/>
      <c r="O695" s="63"/>
      <c r="P695" s="63"/>
      <c r="Q695" s="63"/>
      <c r="R695" s="63"/>
      <c r="S695" s="63"/>
      <c r="T695" s="63"/>
      <c r="U695" s="63"/>
      <c r="V695" s="63"/>
      <c r="W695" s="636">
        <v>74.0</v>
      </c>
      <c r="X695" s="634"/>
      <c r="Y695" s="635"/>
      <c r="Z695" s="65"/>
    </row>
    <row r="696" ht="14.25" customHeight="1">
      <c r="B696" s="637"/>
      <c r="C696" s="627"/>
      <c r="D696" s="627"/>
      <c r="G696" s="118" t="s">
        <v>368</v>
      </c>
      <c r="H696" s="118" t="s">
        <v>1528</v>
      </c>
      <c r="L696" s="61"/>
      <c r="M696" s="63"/>
      <c r="N696" s="63"/>
      <c r="O696" s="63"/>
      <c r="P696" s="63"/>
      <c r="Q696" s="63"/>
      <c r="R696" s="63"/>
      <c r="S696" s="63"/>
      <c r="T696" s="63"/>
      <c r="U696" s="63"/>
      <c r="V696" s="63"/>
      <c r="W696" s="636">
        <v>3.0</v>
      </c>
      <c r="X696" s="634"/>
      <c r="Y696" s="635"/>
      <c r="Z696" s="65"/>
    </row>
    <row r="697" ht="14.25" customHeight="1">
      <c r="B697" s="637"/>
      <c r="C697" s="627"/>
      <c r="D697" s="627"/>
      <c r="G697" s="118" t="s">
        <v>368</v>
      </c>
      <c r="H697" s="118" t="s">
        <v>963</v>
      </c>
      <c r="L697" s="61"/>
      <c r="M697" s="63"/>
      <c r="N697" s="63"/>
      <c r="O697" s="63"/>
      <c r="P697" s="63"/>
      <c r="Q697" s="63"/>
      <c r="R697" s="63"/>
      <c r="S697" s="63"/>
      <c r="T697" s="63"/>
      <c r="U697" s="63"/>
      <c r="V697" s="63"/>
      <c r="W697" s="636">
        <v>821.0</v>
      </c>
      <c r="X697" s="634"/>
      <c r="Y697" s="635"/>
      <c r="Z697" s="65"/>
    </row>
    <row r="698" ht="14.25" customHeight="1">
      <c r="B698" s="637"/>
      <c r="C698" s="627"/>
      <c r="D698" s="627"/>
      <c r="I698" s="118" t="s">
        <v>1521</v>
      </c>
      <c r="L698" s="61"/>
      <c r="M698" s="63"/>
      <c r="N698" s="63"/>
      <c r="O698" s="63"/>
      <c r="P698" s="63"/>
      <c r="Q698" s="63"/>
      <c r="R698" s="63"/>
      <c r="S698" s="63"/>
      <c r="T698" s="63"/>
      <c r="U698" s="63"/>
      <c r="V698" s="63"/>
      <c r="W698" s="636">
        <v>6.0</v>
      </c>
      <c r="X698" s="634"/>
      <c r="Y698" s="635"/>
      <c r="Z698" s="65"/>
    </row>
    <row r="699" ht="14.25" customHeight="1">
      <c r="B699" s="637"/>
      <c r="C699" s="627"/>
      <c r="D699" s="627"/>
      <c r="I699" s="118" t="s">
        <v>1416</v>
      </c>
      <c r="L699" s="61"/>
      <c r="M699" s="63"/>
      <c r="N699" s="63"/>
      <c r="O699" s="63"/>
      <c r="P699" s="63"/>
      <c r="Q699" s="63"/>
      <c r="R699" s="63"/>
      <c r="S699" s="63"/>
      <c r="T699" s="63"/>
      <c r="U699" s="63"/>
      <c r="V699" s="63"/>
      <c r="W699" s="636">
        <v>570.0</v>
      </c>
      <c r="X699" s="634"/>
      <c r="Y699" s="635"/>
      <c r="Z699" s="65"/>
    </row>
    <row r="700" ht="14.25" customHeight="1">
      <c r="B700" s="637"/>
      <c r="C700" s="627"/>
      <c r="D700" s="627"/>
      <c r="I700" s="118" t="s">
        <v>1522</v>
      </c>
      <c r="L700" s="61"/>
      <c r="M700" s="63"/>
      <c r="N700" s="63"/>
      <c r="O700" s="63"/>
      <c r="P700" s="63"/>
      <c r="Q700" s="63"/>
      <c r="R700" s="63"/>
      <c r="S700" s="63"/>
      <c r="T700" s="63"/>
      <c r="U700" s="63"/>
      <c r="V700" s="63"/>
      <c r="W700" s="636">
        <v>245.0</v>
      </c>
      <c r="X700" s="634"/>
      <c r="Y700" s="635"/>
      <c r="Z700" s="65"/>
    </row>
    <row r="701" ht="14.25" customHeight="1">
      <c r="B701" s="637"/>
      <c r="C701" s="627"/>
      <c r="D701" s="627"/>
      <c r="I701" s="118" t="s">
        <v>1415</v>
      </c>
      <c r="L701" s="61"/>
      <c r="M701" s="63"/>
      <c r="N701" s="63"/>
      <c r="O701" s="63"/>
      <c r="P701" s="63"/>
      <c r="Q701" s="63"/>
      <c r="R701" s="63"/>
      <c r="S701" s="63"/>
      <c r="T701" s="63"/>
      <c r="U701" s="63"/>
      <c r="V701" s="63"/>
      <c r="W701" s="636">
        <v>5.0</v>
      </c>
      <c r="X701" s="634"/>
      <c r="Y701" s="635"/>
      <c r="Z701" s="65"/>
    </row>
    <row r="702" ht="14.25" customHeight="1">
      <c r="B702" s="637"/>
      <c r="C702" s="627"/>
      <c r="D702" s="627"/>
      <c r="I702" s="118" t="s">
        <v>1529</v>
      </c>
      <c r="L702" s="61"/>
      <c r="M702" s="63"/>
      <c r="N702" s="63"/>
      <c r="O702" s="63"/>
      <c r="P702" s="63"/>
      <c r="Q702" s="63"/>
      <c r="R702" s="63"/>
      <c r="S702" s="63"/>
      <c r="T702" s="63"/>
      <c r="U702" s="63"/>
      <c r="V702" s="63"/>
      <c r="W702" s="636">
        <v>1750.0</v>
      </c>
      <c r="X702" s="634"/>
      <c r="Y702" s="635"/>
      <c r="Z702" s="65"/>
    </row>
    <row r="703" ht="14.25" customHeight="1">
      <c r="B703" s="637"/>
      <c r="C703" s="627"/>
      <c r="D703" s="627"/>
      <c r="F703" s="118" t="s">
        <v>860</v>
      </c>
      <c r="G703" s="118" t="s">
        <v>1501</v>
      </c>
      <c r="L703" s="61"/>
      <c r="M703" s="63"/>
      <c r="N703" s="63"/>
      <c r="O703" s="63"/>
      <c r="P703" s="63"/>
      <c r="Q703" s="63"/>
      <c r="R703" s="63"/>
      <c r="S703" s="63"/>
      <c r="T703" s="63"/>
      <c r="U703" s="63"/>
      <c r="V703" s="63"/>
      <c r="W703" s="636">
        <v>0.0</v>
      </c>
      <c r="X703" s="634"/>
      <c r="Y703" s="635"/>
      <c r="Z703" s="65"/>
    </row>
    <row r="704" ht="14.25" customHeight="1">
      <c r="B704" s="637"/>
      <c r="C704" s="627"/>
      <c r="D704" s="627"/>
      <c r="G704" s="118" t="s">
        <v>368</v>
      </c>
      <c r="H704" s="118" t="s">
        <v>1526</v>
      </c>
      <c r="L704" s="61"/>
      <c r="M704" s="63"/>
      <c r="N704" s="63"/>
      <c r="O704" s="63"/>
      <c r="P704" s="63"/>
      <c r="Q704" s="63"/>
      <c r="R704" s="63"/>
      <c r="S704" s="63"/>
      <c r="T704" s="63"/>
      <c r="U704" s="63"/>
      <c r="V704" s="63"/>
      <c r="W704" s="636">
        <v>0.0</v>
      </c>
      <c r="X704" s="634"/>
      <c r="Y704" s="635"/>
      <c r="Z704" s="65"/>
    </row>
    <row r="705" ht="14.25" customHeight="1">
      <c r="B705" s="637"/>
      <c r="C705" s="627"/>
      <c r="D705" s="627"/>
      <c r="G705" s="118" t="s">
        <v>368</v>
      </c>
      <c r="H705" s="118" t="s">
        <v>1524</v>
      </c>
      <c r="L705" s="61"/>
      <c r="M705" s="63"/>
      <c r="N705" s="63"/>
      <c r="O705" s="63"/>
      <c r="P705" s="63"/>
      <c r="Q705" s="63"/>
      <c r="R705" s="63"/>
      <c r="S705" s="63"/>
      <c r="T705" s="63"/>
      <c r="U705" s="63"/>
      <c r="V705" s="63"/>
      <c r="W705" s="636">
        <v>0.0</v>
      </c>
      <c r="X705" s="634"/>
      <c r="Y705" s="635"/>
      <c r="Z705" s="65"/>
    </row>
    <row r="706" ht="14.25" customHeight="1">
      <c r="B706" s="637"/>
      <c r="C706" s="627"/>
      <c r="D706" s="627"/>
      <c r="G706" s="118" t="s">
        <v>368</v>
      </c>
      <c r="H706" s="118" t="s">
        <v>1520</v>
      </c>
      <c r="L706" s="61"/>
      <c r="M706" s="63"/>
      <c r="N706" s="63"/>
      <c r="O706" s="63"/>
      <c r="P706" s="63"/>
      <c r="Q706" s="63"/>
      <c r="R706" s="63"/>
      <c r="S706" s="63"/>
      <c r="T706" s="63"/>
      <c r="U706" s="63"/>
      <c r="V706" s="63"/>
      <c r="W706" s="636">
        <v>0.0</v>
      </c>
      <c r="X706" s="634"/>
      <c r="Y706" s="635"/>
      <c r="Z706" s="65"/>
    </row>
    <row r="707" ht="14.25" customHeight="1">
      <c r="B707" s="637"/>
      <c r="C707" s="627"/>
      <c r="D707" s="627"/>
      <c r="G707" s="118" t="s">
        <v>368</v>
      </c>
      <c r="H707" s="118" t="s">
        <v>961</v>
      </c>
      <c r="L707" s="61"/>
      <c r="M707" s="63"/>
      <c r="N707" s="63"/>
      <c r="O707" s="63"/>
      <c r="P707" s="63"/>
      <c r="Q707" s="63"/>
      <c r="R707" s="63"/>
      <c r="S707" s="63"/>
      <c r="T707" s="63"/>
      <c r="U707" s="63"/>
      <c r="V707" s="63"/>
      <c r="W707" s="636">
        <v>0.0</v>
      </c>
      <c r="X707" s="634"/>
      <c r="Y707" s="635"/>
      <c r="Z707" s="65"/>
    </row>
    <row r="708" ht="14.25" customHeight="1">
      <c r="B708" s="637"/>
      <c r="C708" s="627"/>
      <c r="D708" s="627"/>
      <c r="G708" s="118" t="s">
        <v>368</v>
      </c>
      <c r="H708" s="118" t="s">
        <v>963</v>
      </c>
      <c r="L708" s="61"/>
      <c r="M708" s="63"/>
      <c r="N708" s="63"/>
      <c r="O708" s="63"/>
      <c r="P708" s="63"/>
      <c r="Q708" s="63"/>
      <c r="R708" s="63"/>
      <c r="S708" s="63"/>
      <c r="T708" s="63"/>
      <c r="U708" s="63"/>
      <c r="V708" s="63"/>
      <c r="W708" s="636">
        <v>0.0</v>
      </c>
      <c r="X708" s="634"/>
      <c r="Y708" s="635"/>
      <c r="Z708" s="65"/>
    </row>
    <row r="709" ht="14.25" customHeight="1">
      <c r="B709" s="637"/>
      <c r="C709" s="627"/>
      <c r="D709" s="627"/>
      <c r="I709" s="118" t="s">
        <v>1408</v>
      </c>
      <c r="L709" s="61"/>
      <c r="M709" s="63"/>
      <c r="N709" s="63"/>
      <c r="O709" s="63"/>
      <c r="P709" s="63"/>
      <c r="Q709" s="63"/>
      <c r="R709" s="63"/>
      <c r="S709" s="63"/>
      <c r="T709" s="63"/>
      <c r="U709" s="63"/>
      <c r="V709" s="63"/>
      <c r="W709" s="636">
        <v>0.0</v>
      </c>
      <c r="X709" s="634"/>
      <c r="Y709" s="635"/>
      <c r="Z709" s="65"/>
    </row>
    <row r="710" ht="14.25" customHeight="1">
      <c r="B710" s="637"/>
      <c r="C710" s="627"/>
      <c r="D710" s="627"/>
      <c r="I710" s="118" t="s">
        <v>1408</v>
      </c>
      <c r="L710" s="61"/>
      <c r="M710" s="63"/>
      <c r="N710" s="63"/>
      <c r="O710" s="63"/>
      <c r="P710" s="63"/>
      <c r="Q710" s="63"/>
      <c r="R710" s="63"/>
      <c r="S710" s="63"/>
      <c r="T710" s="63"/>
      <c r="U710" s="63"/>
      <c r="V710" s="63"/>
      <c r="W710" s="636">
        <v>0.0</v>
      </c>
      <c r="X710" s="634"/>
      <c r="Y710" s="635"/>
      <c r="Z710" s="65"/>
    </row>
    <row r="711" ht="14.25" customHeight="1">
      <c r="B711" s="637"/>
      <c r="C711" s="627"/>
      <c r="D711" s="627"/>
      <c r="I711" s="118" t="s">
        <v>1408</v>
      </c>
      <c r="L711" s="61"/>
      <c r="M711" s="63"/>
      <c r="N711" s="63"/>
      <c r="O711" s="63"/>
      <c r="P711" s="63"/>
      <c r="Q711" s="63"/>
      <c r="R711" s="63"/>
      <c r="S711" s="63"/>
      <c r="T711" s="63"/>
      <c r="U711" s="63"/>
      <c r="V711" s="63"/>
      <c r="W711" s="636">
        <v>0.0</v>
      </c>
      <c r="X711" s="634"/>
      <c r="Y711" s="635"/>
      <c r="Z711" s="65"/>
    </row>
    <row r="712" ht="14.25" customHeight="1">
      <c r="B712" s="637"/>
      <c r="C712" s="627"/>
      <c r="D712" s="627"/>
      <c r="F712" s="118" t="s">
        <v>862</v>
      </c>
      <c r="G712" s="118" t="s">
        <v>161</v>
      </c>
      <c r="L712" s="61"/>
      <c r="M712" s="63"/>
      <c r="N712" s="63"/>
      <c r="O712" s="63"/>
      <c r="P712" s="63"/>
      <c r="Q712" s="63"/>
      <c r="R712" s="63"/>
      <c r="S712" s="63"/>
      <c r="T712" s="63"/>
      <c r="U712" s="63"/>
      <c r="V712" s="63"/>
      <c r="W712" s="636">
        <v>629.0</v>
      </c>
      <c r="X712" s="634"/>
      <c r="Y712" s="635"/>
      <c r="Z712" s="65"/>
    </row>
    <row r="713" ht="14.25" customHeight="1">
      <c r="B713" s="637"/>
      <c r="C713" s="627"/>
      <c r="D713" s="627"/>
      <c r="G713" s="118" t="s">
        <v>368</v>
      </c>
      <c r="H713" s="118" t="s">
        <v>1416</v>
      </c>
      <c r="L713" s="61"/>
      <c r="M713" s="63"/>
      <c r="N713" s="63"/>
      <c r="O713" s="63"/>
      <c r="P713" s="63"/>
      <c r="Q713" s="63"/>
      <c r="R713" s="63"/>
      <c r="S713" s="63"/>
      <c r="T713" s="63"/>
      <c r="U713" s="63"/>
      <c r="V713" s="63"/>
      <c r="W713" s="636">
        <v>119.0</v>
      </c>
      <c r="X713" s="634"/>
      <c r="Y713" s="635"/>
      <c r="Z713" s="65"/>
    </row>
    <row r="714" ht="14.25" customHeight="1">
      <c r="B714" s="637"/>
      <c r="C714" s="627"/>
      <c r="D714" s="627"/>
      <c r="G714" s="118" t="s">
        <v>368</v>
      </c>
      <c r="H714" s="118" t="s">
        <v>1524</v>
      </c>
      <c r="L714" s="61"/>
      <c r="M714" s="63"/>
      <c r="N714" s="63"/>
      <c r="O714" s="63"/>
      <c r="P714" s="63"/>
      <c r="Q714" s="63"/>
      <c r="R714" s="63"/>
      <c r="S714" s="63"/>
      <c r="T714" s="63"/>
      <c r="U714" s="63"/>
      <c r="V714" s="63"/>
      <c r="W714" s="636">
        <v>0.0</v>
      </c>
      <c r="X714" s="634"/>
      <c r="Y714" s="635"/>
      <c r="Z714" s="65"/>
    </row>
    <row r="715" ht="14.25" customHeight="1">
      <c r="B715" s="637"/>
      <c r="C715" s="627"/>
      <c r="D715" s="627"/>
      <c r="G715" s="118" t="s">
        <v>368</v>
      </c>
      <c r="H715" s="118" t="s">
        <v>1520</v>
      </c>
      <c r="L715" s="61"/>
      <c r="M715" s="63"/>
      <c r="N715" s="63"/>
      <c r="O715" s="63"/>
      <c r="P715" s="63"/>
      <c r="Q715" s="63"/>
      <c r="R715" s="63"/>
      <c r="S715" s="63"/>
      <c r="T715" s="63"/>
      <c r="U715" s="63"/>
      <c r="V715" s="63"/>
      <c r="W715" s="636">
        <v>22.0</v>
      </c>
      <c r="X715" s="634"/>
      <c r="Y715" s="635"/>
      <c r="Z715" s="65"/>
    </row>
    <row r="716" ht="14.25" customHeight="1">
      <c r="B716" s="637"/>
      <c r="C716" s="627"/>
      <c r="D716" s="627"/>
      <c r="G716" s="118" t="s">
        <v>368</v>
      </c>
      <c r="H716" s="118" t="s">
        <v>1216</v>
      </c>
      <c r="L716" s="61"/>
      <c r="M716" s="63"/>
      <c r="N716" s="63"/>
      <c r="O716" s="63"/>
      <c r="P716" s="63"/>
      <c r="Q716" s="63"/>
      <c r="R716" s="63"/>
      <c r="S716" s="63"/>
      <c r="T716" s="63"/>
      <c r="U716" s="63"/>
      <c r="V716" s="63"/>
      <c r="W716" s="636">
        <v>5.0</v>
      </c>
      <c r="X716" s="634"/>
      <c r="Y716" s="635"/>
      <c r="Z716" s="65"/>
    </row>
    <row r="717" ht="14.25" customHeight="1">
      <c r="B717" s="637"/>
      <c r="C717" s="627"/>
      <c r="D717" s="627"/>
      <c r="G717" s="118" t="s">
        <v>368</v>
      </c>
      <c r="H717" s="118" t="s">
        <v>963</v>
      </c>
      <c r="L717" s="61"/>
      <c r="M717" s="63"/>
      <c r="N717" s="63"/>
      <c r="O717" s="63"/>
      <c r="P717" s="63"/>
      <c r="Q717" s="63"/>
      <c r="R717" s="63"/>
      <c r="S717" s="63"/>
      <c r="T717" s="63"/>
      <c r="U717" s="63"/>
      <c r="V717" s="63"/>
      <c r="W717" s="636">
        <v>483.0</v>
      </c>
      <c r="X717" s="634"/>
      <c r="Y717" s="635"/>
      <c r="Z717" s="65"/>
    </row>
    <row r="718" ht="14.25" customHeight="1">
      <c r="B718" s="637"/>
      <c r="C718" s="627"/>
      <c r="D718" s="627"/>
      <c r="I718" s="118" t="s">
        <v>1522</v>
      </c>
      <c r="L718" s="61"/>
      <c r="M718" s="63"/>
      <c r="N718" s="63"/>
      <c r="O718" s="63"/>
      <c r="P718" s="63"/>
      <c r="Q718" s="63"/>
      <c r="R718" s="63"/>
      <c r="S718" s="63"/>
      <c r="T718" s="63"/>
      <c r="U718" s="63"/>
      <c r="V718" s="63"/>
      <c r="W718" s="636">
        <v>38.0</v>
      </c>
      <c r="X718" s="634"/>
      <c r="Y718" s="635"/>
      <c r="Z718" s="65"/>
    </row>
    <row r="719" ht="14.25" customHeight="1">
      <c r="B719" s="637"/>
      <c r="C719" s="627"/>
      <c r="D719" s="627"/>
      <c r="I719" s="118" t="s">
        <v>1415</v>
      </c>
      <c r="L719" s="61"/>
      <c r="M719" s="63"/>
      <c r="N719" s="63"/>
      <c r="O719" s="63"/>
      <c r="P719" s="63"/>
      <c r="Q719" s="63"/>
      <c r="R719" s="63"/>
      <c r="S719" s="63"/>
      <c r="T719" s="63"/>
      <c r="U719" s="63"/>
      <c r="V719" s="63"/>
      <c r="W719" s="636">
        <v>2.0</v>
      </c>
      <c r="X719" s="634"/>
      <c r="Y719" s="635"/>
      <c r="Z719" s="65"/>
    </row>
    <row r="720" ht="14.25" customHeight="1">
      <c r="B720" s="637"/>
      <c r="C720" s="627"/>
      <c r="D720" s="627"/>
      <c r="I720" s="118" t="s">
        <v>1529</v>
      </c>
      <c r="L720" s="61"/>
      <c r="M720" s="63"/>
      <c r="N720" s="63"/>
      <c r="O720" s="63"/>
      <c r="P720" s="63"/>
      <c r="Q720" s="63"/>
      <c r="R720" s="63"/>
      <c r="S720" s="63"/>
      <c r="T720" s="63"/>
      <c r="U720" s="63"/>
      <c r="V720" s="63"/>
      <c r="W720" s="636">
        <v>443.0</v>
      </c>
      <c r="X720" s="634"/>
      <c r="Y720" s="635"/>
      <c r="Z720" s="65"/>
    </row>
    <row r="721" ht="14.25" customHeight="1">
      <c r="B721" s="637"/>
      <c r="C721" s="627"/>
      <c r="D721" s="627" t="s">
        <v>403</v>
      </c>
      <c r="F721" s="118" t="s">
        <v>914</v>
      </c>
      <c r="G721" s="118" t="s">
        <v>919</v>
      </c>
      <c r="L721" s="61"/>
      <c r="M721" s="63"/>
      <c r="N721" s="63"/>
      <c r="O721" s="63"/>
      <c r="P721" s="63"/>
      <c r="Q721" s="63"/>
      <c r="R721" s="63"/>
      <c r="S721" s="63"/>
      <c r="T721" s="63"/>
      <c r="U721" s="63"/>
      <c r="V721" s="63"/>
      <c r="W721" s="636">
        <v>4.0</v>
      </c>
      <c r="X721" s="634"/>
      <c r="Y721" s="635"/>
      <c r="Z721" s="65"/>
    </row>
    <row r="722" ht="14.25" customHeight="1">
      <c r="B722" s="637"/>
      <c r="C722" s="627"/>
      <c r="D722" s="627"/>
      <c r="G722" s="118" t="s">
        <v>368</v>
      </c>
      <c r="H722" s="118" t="s">
        <v>1526</v>
      </c>
      <c r="L722" s="61"/>
      <c r="M722" s="63"/>
      <c r="N722" s="63"/>
      <c r="O722" s="63"/>
      <c r="P722" s="63"/>
      <c r="Q722" s="63"/>
      <c r="R722" s="63"/>
      <c r="S722" s="63"/>
      <c r="T722" s="63"/>
      <c r="U722" s="63"/>
      <c r="V722" s="63"/>
      <c r="W722" s="636">
        <v>0.0</v>
      </c>
      <c r="X722" s="634"/>
      <c r="Y722" s="635"/>
      <c r="Z722" s="65"/>
    </row>
    <row r="723" ht="14.25" customHeight="1">
      <c r="B723" s="637"/>
      <c r="C723" s="627"/>
      <c r="D723" s="627"/>
      <c r="G723" s="118" t="s">
        <v>368</v>
      </c>
      <c r="H723" s="118" t="s">
        <v>1524</v>
      </c>
      <c r="L723" s="61"/>
      <c r="M723" s="63"/>
      <c r="N723" s="63"/>
      <c r="O723" s="63"/>
      <c r="P723" s="63"/>
      <c r="Q723" s="63"/>
      <c r="R723" s="63"/>
      <c r="S723" s="63"/>
      <c r="T723" s="63"/>
      <c r="U723" s="63"/>
      <c r="V723" s="63"/>
      <c r="W723" s="636">
        <v>4.0</v>
      </c>
      <c r="X723" s="634"/>
      <c r="Y723" s="635"/>
      <c r="Z723" s="65"/>
    </row>
    <row r="724" ht="14.25" customHeight="1">
      <c r="B724" s="637"/>
      <c r="C724" s="627"/>
      <c r="D724" s="627"/>
      <c r="G724" s="118" t="s">
        <v>368</v>
      </c>
      <c r="H724" s="118" t="s">
        <v>1520</v>
      </c>
      <c r="L724" s="61"/>
      <c r="M724" s="63"/>
      <c r="N724" s="63"/>
      <c r="O724" s="63"/>
      <c r="P724" s="63"/>
      <c r="Q724" s="63"/>
      <c r="R724" s="63"/>
      <c r="S724" s="63"/>
      <c r="T724" s="63"/>
      <c r="U724" s="63"/>
      <c r="V724" s="63"/>
      <c r="W724" s="636">
        <v>0.0</v>
      </c>
      <c r="X724" s="634"/>
      <c r="Y724" s="635"/>
      <c r="Z724" s="65"/>
    </row>
    <row r="725" ht="14.25" customHeight="1">
      <c r="B725" s="637"/>
      <c r="C725" s="627"/>
      <c r="D725" s="627"/>
      <c r="G725" s="118" t="s">
        <v>368</v>
      </c>
      <c r="H725" s="118" t="s">
        <v>961</v>
      </c>
      <c r="L725" s="61"/>
      <c r="M725" s="63"/>
      <c r="N725" s="63"/>
      <c r="O725" s="63"/>
      <c r="P725" s="63"/>
      <c r="Q725" s="63"/>
      <c r="R725" s="63"/>
      <c r="S725" s="63"/>
      <c r="T725" s="63"/>
      <c r="U725" s="63"/>
      <c r="V725" s="63"/>
      <c r="W725" s="636">
        <v>0.0</v>
      </c>
      <c r="X725" s="634"/>
      <c r="Y725" s="635"/>
      <c r="Z725" s="65"/>
    </row>
    <row r="726" ht="14.25" customHeight="1">
      <c r="B726" s="637"/>
      <c r="C726" s="627"/>
      <c r="D726" s="627"/>
      <c r="G726" s="118" t="s">
        <v>368</v>
      </c>
      <c r="H726" s="118" t="s">
        <v>963</v>
      </c>
      <c r="L726" s="61"/>
      <c r="M726" s="63"/>
      <c r="N726" s="63"/>
      <c r="O726" s="63"/>
      <c r="P726" s="63"/>
      <c r="Q726" s="63"/>
      <c r="R726" s="63"/>
      <c r="S726" s="63"/>
      <c r="T726" s="63"/>
      <c r="U726" s="63"/>
      <c r="V726" s="63"/>
      <c r="W726" s="636">
        <v>0.0</v>
      </c>
      <c r="X726" s="634"/>
      <c r="Y726" s="635"/>
      <c r="Z726" s="65"/>
    </row>
    <row r="727" ht="14.25" customHeight="1">
      <c r="B727" s="637"/>
      <c r="C727" s="627"/>
      <c r="D727" s="627"/>
      <c r="I727" s="118" t="s">
        <v>1408</v>
      </c>
      <c r="L727" s="61"/>
      <c r="M727" s="63"/>
      <c r="N727" s="63"/>
      <c r="O727" s="63"/>
      <c r="P727" s="63"/>
      <c r="Q727" s="63"/>
      <c r="R727" s="63"/>
      <c r="S727" s="63"/>
      <c r="T727" s="63"/>
      <c r="U727" s="63"/>
      <c r="V727" s="63"/>
      <c r="W727" s="636">
        <v>0.0</v>
      </c>
      <c r="X727" s="634"/>
      <c r="Y727" s="635"/>
      <c r="Z727" s="65"/>
    </row>
    <row r="728" ht="14.25" customHeight="1">
      <c r="B728" s="637"/>
      <c r="C728" s="627"/>
      <c r="D728" s="627"/>
      <c r="I728" s="118" t="s">
        <v>1408</v>
      </c>
      <c r="L728" s="61"/>
      <c r="M728" s="63"/>
      <c r="N728" s="63"/>
      <c r="O728" s="63"/>
      <c r="P728" s="63"/>
      <c r="Q728" s="63"/>
      <c r="R728" s="63"/>
      <c r="S728" s="63"/>
      <c r="T728" s="63"/>
      <c r="U728" s="63"/>
      <c r="V728" s="63"/>
      <c r="W728" s="636">
        <v>0.0</v>
      </c>
      <c r="X728" s="634"/>
      <c r="Y728" s="635"/>
      <c r="Z728" s="65"/>
    </row>
    <row r="729" ht="14.25" customHeight="1">
      <c r="B729" s="637"/>
      <c r="C729" s="627"/>
      <c r="D729" s="627"/>
      <c r="I729" s="118" t="s">
        <v>1408</v>
      </c>
      <c r="L729" s="61"/>
      <c r="M729" s="63"/>
      <c r="N729" s="63"/>
      <c r="O729" s="63"/>
      <c r="P729" s="63"/>
      <c r="Q729" s="63"/>
      <c r="R729" s="63"/>
      <c r="S729" s="63"/>
      <c r="T729" s="63"/>
      <c r="U729" s="63"/>
      <c r="V729" s="63"/>
      <c r="W729" s="636">
        <v>0.0</v>
      </c>
      <c r="X729" s="634"/>
      <c r="Y729" s="635"/>
      <c r="Z729" s="65"/>
    </row>
    <row r="730" ht="14.25" customHeight="1">
      <c r="B730" s="637"/>
      <c r="C730" s="638"/>
      <c r="D730" s="638"/>
      <c r="L730" s="61"/>
      <c r="M730" s="63"/>
      <c r="N730" s="63"/>
      <c r="O730" s="63"/>
      <c r="P730" s="63"/>
      <c r="Q730" s="63"/>
      <c r="R730" s="63"/>
      <c r="S730" s="63"/>
      <c r="T730" s="63"/>
      <c r="U730" s="63"/>
      <c r="V730" s="63"/>
      <c r="W730" s="636"/>
      <c r="X730" s="634"/>
      <c r="Y730" s="635"/>
      <c r="Z730" s="65"/>
    </row>
    <row r="731" ht="14.25" customHeight="1">
      <c r="B731" s="637" t="s">
        <v>1530</v>
      </c>
      <c r="C731" s="625"/>
      <c r="D731" s="625"/>
      <c r="E731" s="118" t="s">
        <v>866</v>
      </c>
      <c r="F731" s="118" t="s">
        <v>1531</v>
      </c>
      <c r="L731" s="61"/>
      <c r="M731" s="63"/>
      <c r="N731" s="63"/>
      <c r="O731" s="63"/>
      <c r="P731" s="63"/>
      <c r="Q731" s="63"/>
      <c r="R731" s="63"/>
      <c r="S731" s="63"/>
      <c r="T731" s="63"/>
      <c r="U731" s="63"/>
      <c r="V731" s="63"/>
      <c r="W731" s="636">
        <v>499.0</v>
      </c>
      <c r="X731" s="634"/>
      <c r="Y731" s="635"/>
      <c r="Z731" s="65"/>
    </row>
    <row r="732" ht="14.25" customHeight="1">
      <c r="B732" s="637" t="s">
        <v>1532</v>
      </c>
      <c r="C732" s="627"/>
      <c r="D732" s="627"/>
      <c r="F732" s="118" t="s">
        <v>845</v>
      </c>
      <c r="G732" s="118" t="s">
        <v>1533</v>
      </c>
      <c r="L732" s="61"/>
      <c r="M732" s="63"/>
      <c r="N732" s="63"/>
      <c r="O732" s="63"/>
      <c r="P732" s="63"/>
      <c r="Q732" s="63"/>
      <c r="R732" s="63"/>
      <c r="S732" s="63"/>
      <c r="T732" s="63"/>
      <c r="U732" s="63"/>
      <c r="V732" s="63"/>
      <c r="W732" s="636">
        <v>499.0</v>
      </c>
      <c r="X732" s="634"/>
      <c r="Y732" s="635"/>
      <c r="Z732" s="65"/>
    </row>
    <row r="733" ht="14.25" customHeight="1">
      <c r="B733" s="637" t="s">
        <v>1534</v>
      </c>
      <c r="C733" s="625"/>
      <c r="D733" s="625"/>
      <c r="F733" s="118" t="s">
        <v>847</v>
      </c>
      <c r="G733" s="118" t="s">
        <v>1535</v>
      </c>
      <c r="L733" s="61"/>
      <c r="M733" s="63"/>
      <c r="N733" s="63"/>
      <c r="O733" s="63"/>
      <c r="P733" s="63"/>
      <c r="Q733" s="63"/>
      <c r="R733" s="63"/>
      <c r="S733" s="63"/>
      <c r="T733" s="63"/>
      <c r="U733" s="63"/>
      <c r="V733" s="63"/>
      <c r="W733" s="636">
        <v>0.0</v>
      </c>
      <c r="X733" s="634"/>
      <c r="Y733" s="635"/>
      <c r="Z733" s="65"/>
    </row>
    <row r="734" ht="14.25" customHeight="1">
      <c r="B734" s="637" t="s">
        <v>1536</v>
      </c>
      <c r="C734" s="639"/>
      <c r="D734" s="623"/>
      <c r="E734" s="118" t="s">
        <v>906</v>
      </c>
      <c r="F734" s="118" t="s">
        <v>1537</v>
      </c>
      <c r="L734" s="61"/>
      <c r="M734" s="63"/>
      <c r="N734" s="63"/>
      <c r="O734" s="63"/>
      <c r="P734" s="63"/>
      <c r="Q734" s="63"/>
      <c r="R734" s="63"/>
      <c r="S734" s="63"/>
      <c r="T734" s="63"/>
      <c r="U734" s="63"/>
      <c r="V734" s="63"/>
      <c r="W734" s="636"/>
      <c r="X734" s="634"/>
      <c r="Y734" s="635"/>
      <c r="Z734" s="65"/>
    </row>
    <row r="735" ht="14.25" customHeight="1">
      <c r="B735" s="113"/>
      <c r="F735" s="118" t="s">
        <v>1538</v>
      </c>
      <c r="L735" s="61"/>
      <c r="M735" s="63"/>
      <c r="N735" s="63"/>
      <c r="O735" s="63"/>
      <c r="P735" s="63"/>
      <c r="Q735" s="63"/>
      <c r="R735" s="63"/>
      <c r="S735" s="63"/>
      <c r="T735" s="63"/>
      <c r="U735" s="63"/>
      <c r="V735" s="63"/>
      <c r="W735" s="636">
        <v>10386.0</v>
      </c>
      <c r="X735" s="634"/>
      <c r="Y735" s="635"/>
      <c r="Z735" s="65"/>
    </row>
    <row r="736" ht="14.25" customHeight="1">
      <c r="B736" s="113"/>
      <c r="F736" s="118" t="s">
        <v>845</v>
      </c>
      <c r="G736" s="118" t="s">
        <v>1533</v>
      </c>
      <c r="L736" s="61"/>
      <c r="M736" s="63"/>
      <c r="N736" s="63"/>
      <c r="O736" s="63"/>
      <c r="P736" s="63"/>
      <c r="Q736" s="63"/>
      <c r="R736" s="63"/>
      <c r="S736" s="63"/>
      <c r="T736" s="63"/>
      <c r="U736" s="63"/>
      <c r="V736" s="63"/>
      <c r="W736" s="636">
        <v>10386.0</v>
      </c>
      <c r="X736" s="634"/>
      <c r="Y736" s="635"/>
      <c r="Z736" s="65"/>
    </row>
    <row r="737" ht="14.25" customHeight="1">
      <c r="B737" s="113"/>
      <c r="F737" s="118" t="s">
        <v>847</v>
      </c>
      <c r="G737" s="118" t="s">
        <v>1535</v>
      </c>
      <c r="L737" s="61"/>
      <c r="M737" s="63"/>
      <c r="N737" s="63"/>
      <c r="O737" s="63"/>
      <c r="P737" s="63"/>
      <c r="Q737" s="63"/>
      <c r="R737" s="63"/>
      <c r="S737" s="63"/>
      <c r="T737" s="63"/>
      <c r="U737" s="63"/>
      <c r="V737" s="63"/>
      <c r="W737" s="636">
        <v>0.0</v>
      </c>
      <c r="X737" s="634"/>
      <c r="Y737" s="635"/>
      <c r="Z737" s="65"/>
    </row>
    <row r="738" ht="14.25" customHeight="1">
      <c r="B738" s="113"/>
      <c r="E738" s="118" t="s">
        <v>924</v>
      </c>
      <c r="F738" s="118" t="s">
        <v>1539</v>
      </c>
      <c r="L738" s="61"/>
      <c r="M738" s="63"/>
      <c r="N738" s="63"/>
      <c r="O738" s="63"/>
      <c r="P738" s="63"/>
      <c r="Q738" s="63"/>
      <c r="R738" s="63"/>
      <c r="S738" s="63"/>
      <c r="T738" s="63"/>
      <c r="U738" s="63"/>
      <c r="V738" s="63"/>
      <c r="W738" s="636"/>
      <c r="X738" s="634"/>
      <c r="Y738" s="635"/>
      <c r="Z738" s="65"/>
    </row>
    <row r="739" ht="14.25" customHeight="1">
      <c r="B739" s="113"/>
      <c r="F739" s="118" t="s">
        <v>1540</v>
      </c>
      <c r="L739" s="61"/>
      <c r="M739" s="63"/>
      <c r="N739" s="63"/>
      <c r="O739" s="63"/>
      <c r="P739" s="63"/>
      <c r="Q739" s="63"/>
      <c r="R739" s="63"/>
      <c r="S739" s="63"/>
      <c r="T739" s="63"/>
      <c r="U739" s="63"/>
      <c r="V739" s="63"/>
      <c r="W739" s="636">
        <v>0.0</v>
      </c>
      <c r="X739" s="634"/>
      <c r="Y739" s="635"/>
      <c r="Z739" s="65"/>
    </row>
    <row r="740" ht="14.25" customHeight="1">
      <c r="B740" s="113"/>
      <c r="L740" s="61"/>
      <c r="M740" s="63"/>
      <c r="N740" s="63"/>
      <c r="O740" s="63"/>
      <c r="P740" s="63"/>
      <c r="Q740" s="63"/>
      <c r="R740" s="63"/>
      <c r="S740" s="63"/>
      <c r="T740" s="63"/>
      <c r="U740" s="63"/>
      <c r="V740" s="63"/>
      <c r="W740" s="636"/>
      <c r="X740" s="634"/>
      <c r="Y740" s="635"/>
      <c r="Z740" s="65"/>
    </row>
    <row r="741" ht="14.25" customHeight="1">
      <c r="B741" s="113"/>
      <c r="L741" s="61"/>
      <c r="M741" s="63"/>
      <c r="N741" s="63"/>
      <c r="O741" s="63"/>
      <c r="P741" s="63"/>
      <c r="Q741" s="63"/>
      <c r="R741" s="63"/>
      <c r="S741" s="63"/>
      <c r="T741" s="63"/>
      <c r="U741" s="63"/>
      <c r="V741" s="63"/>
      <c r="W741" s="636"/>
      <c r="X741" s="634"/>
      <c r="Y741" s="635"/>
      <c r="Z741" s="65"/>
    </row>
    <row r="742" ht="14.25" customHeight="1">
      <c r="B742" s="113" t="s">
        <v>1363</v>
      </c>
      <c r="C742" s="118" t="s">
        <v>1541</v>
      </c>
      <c r="L742" s="61"/>
      <c r="M742" s="63"/>
      <c r="N742" s="63"/>
      <c r="O742" s="63"/>
      <c r="P742" s="63"/>
      <c r="Q742" s="63"/>
      <c r="R742" s="63"/>
      <c r="S742" s="63"/>
      <c r="T742" s="63"/>
      <c r="U742" s="63"/>
      <c r="V742" s="63"/>
      <c r="W742" s="636"/>
      <c r="X742" s="634"/>
      <c r="Y742" s="635"/>
      <c r="Z742" s="65"/>
    </row>
    <row r="743" ht="14.25" customHeight="1">
      <c r="B743" s="113"/>
      <c r="L743" s="61"/>
      <c r="M743" s="63"/>
      <c r="N743" s="63"/>
      <c r="O743" s="63"/>
      <c r="P743" s="63"/>
      <c r="Q743" s="63"/>
      <c r="R743" s="63"/>
      <c r="S743" s="63"/>
      <c r="T743" s="63"/>
      <c r="U743" s="63"/>
      <c r="V743" s="63"/>
      <c r="W743" s="636"/>
      <c r="X743" s="634"/>
      <c r="Y743" s="635"/>
      <c r="Z743" s="65"/>
    </row>
    <row r="744" ht="14.25" customHeight="1">
      <c r="B744" s="113"/>
      <c r="C744" s="118" t="s">
        <v>866</v>
      </c>
      <c r="D744" s="118" t="s">
        <v>1542</v>
      </c>
      <c r="E744" s="118" t="s">
        <v>1129</v>
      </c>
      <c r="F744" s="118" t="s">
        <v>1543</v>
      </c>
      <c r="L744" s="61"/>
      <c r="M744" s="63"/>
      <c r="N744" s="63"/>
      <c r="O744" s="63"/>
      <c r="P744" s="63"/>
      <c r="Q744" s="63"/>
      <c r="R744" s="63"/>
      <c r="S744" s="63"/>
      <c r="T744" s="63"/>
      <c r="U744" s="63"/>
      <c r="V744" s="63"/>
      <c r="W744" s="636"/>
      <c r="X744" s="634"/>
      <c r="Y744" s="635"/>
      <c r="Z744" s="65"/>
    </row>
    <row r="745" ht="14.25" customHeight="1">
      <c r="B745" s="113"/>
      <c r="F745" s="118" t="s">
        <v>1129</v>
      </c>
      <c r="G745" s="118" t="s">
        <v>1544</v>
      </c>
      <c r="L745" s="61"/>
      <c r="M745" s="63"/>
      <c r="N745" s="63">
        <v>2.0</v>
      </c>
      <c r="O745" s="63"/>
      <c r="P745" s="63"/>
      <c r="Q745" s="63"/>
      <c r="R745" s="63"/>
      <c r="S745" s="63">
        <v>2.0</v>
      </c>
      <c r="T745" s="63">
        <v>2.0</v>
      </c>
      <c r="U745" s="63">
        <v>2.0</v>
      </c>
      <c r="V745" s="63">
        <v>2.0</v>
      </c>
      <c r="W745" s="636"/>
      <c r="X745" s="634"/>
      <c r="Y745" s="635"/>
      <c r="Z745" s="65"/>
    </row>
    <row r="746" ht="14.25" customHeight="1">
      <c r="B746" s="113"/>
      <c r="F746" s="118" t="s">
        <v>1131</v>
      </c>
      <c r="G746" s="118" t="s">
        <v>1545</v>
      </c>
      <c r="L746" s="61"/>
      <c r="M746" s="63"/>
      <c r="N746" s="63">
        <v>10.0</v>
      </c>
      <c r="O746" s="63"/>
      <c r="P746" s="63"/>
      <c r="Q746" s="63"/>
      <c r="R746" s="63"/>
      <c r="S746" s="63">
        <v>14.0</v>
      </c>
      <c r="T746" s="63">
        <v>13.0</v>
      </c>
      <c r="U746" s="63">
        <v>13.0</v>
      </c>
      <c r="V746" s="63">
        <v>13.0</v>
      </c>
      <c r="W746" s="636"/>
      <c r="X746" s="634"/>
      <c r="Y746" s="635"/>
      <c r="Z746" s="65"/>
    </row>
    <row r="747" ht="14.25" customHeight="1">
      <c r="B747" s="113"/>
      <c r="F747" s="118" t="s">
        <v>1286</v>
      </c>
      <c r="G747" s="118" t="s">
        <v>1546</v>
      </c>
      <c r="L747" s="61"/>
      <c r="M747" s="63"/>
      <c r="N747" s="63"/>
      <c r="O747" s="63"/>
      <c r="P747" s="63"/>
      <c r="Q747" s="63"/>
      <c r="R747" s="63"/>
      <c r="S747" s="63"/>
      <c r="T747" s="63"/>
      <c r="U747" s="63"/>
      <c r="V747" s="63"/>
      <c r="W747" s="636"/>
      <c r="X747" s="634"/>
      <c r="Y747" s="635"/>
      <c r="Z747" s="65"/>
    </row>
    <row r="748" ht="14.25" customHeight="1">
      <c r="B748" s="113"/>
      <c r="L748" s="61"/>
      <c r="M748" s="63"/>
      <c r="N748" s="63"/>
      <c r="O748" s="63"/>
      <c r="P748" s="63"/>
      <c r="Q748" s="63"/>
      <c r="R748" s="63"/>
      <c r="S748" s="63"/>
      <c r="T748" s="63"/>
      <c r="U748" s="63"/>
      <c r="V748" s="63"/>
      <c r="W748" s="636"/>
      <c r="X748" s="634"/>
      <c r="Y748" s="635"/>
      <c r="Z748" s="65"/>
    </row>
    <row r="749" ht="14.25" customHeight="1">
      <c r="B749" s="113"/>
      <c r="E749" s="118" t="s">
        <v>1131</v>
      </c>
      <c r="F749" s="118" t="s">
        <v>1547</v>
      </c>
      <c r="L749" s="61"/>
      <c r="M749" s="63"/>
      <c r="N749" s="63">
        <v>0.0</v>
      </c>
      <c r="O749" s="63">
        <v>0.0</v>
      </c>
      <c r="P749" s="63">
        <v>0.0</v>
      </c>
      <c r="Q749" s="63">
        <v>0.0</v>
      </c>
      <c r="R749" s="63"/>
      <c r="S749" s="63">
        <v>0.0</v>
      </c>
      <c r="T749" s="63">
        <v>0.0</v>
      </c>
      <c r="U749" s="63">
        <v>0.0</v>
      </c>
      <c r="V749" s="63">
        <v>0.0</v>
      </c>
      <c r="W749" s="636"/>
      <c r="X749" s="634"/>
      <c r="Y749" s="635"/>
      <c r="Z749" s="65"/>
    </row>
    <row r="750" ht="14.25" customHeight="1">
      <c r="B750" s="113"/>
      <c r="F750" s="118" t="s">
        <v>1548</v>
      </c>
      <c r="G750" s="118" t="s">
        <v>1549</v>
      </c>
      <c r="L750" s="61"/>
      <c r="M750" s="63"/>
      <c r="N750" s="63"/>
      <c r="O750" s="63"/>
      <c r="P750" s="63"/>
      <c r="Q750" s="63"/>
      <c r="R750" s="63"/>
      <c r="S750" s="63"/>
      <c r="T750" s="63"/>
      <c r="U750" s="63"/>
      <c r="V750" s="63"/>
      <c r="W750" s="636"/>
      <c r="X750" s="634"/>
      <c r="Y750" s="635"/>
      <c r="Z750" s="65"/>
    </row>
    <row r="751" ht="14.25" customHeight="1">
      <c r="B751" s="113"/>
      <c r="F751" s="118" t="s">
        <v>1550</v>
      </c>
      <c r="G751" s="118" t="s">
        <v>1551</v>
      </c>
      <c r="L751" s="61"/>
      <c r="M751" s="63"/>
      <c r="N751" s="63"/>
      <c r="O751" s="63"/>
      <c r="P751" s="63"/>
      <c r="Q751" s="63"/>
      <c r="R751" s="63"/>
      <c r="S751" s="63"/>
      <c r="T751" s="63"/>
      <c r="U751" s="63"/>
      <c r="V751" s="63"/>
      <c r="W751" s="636"/>
      <c r="X751" s="634"/>
      <c r="Y751" s="635"/>
      <c r="Z751" s="65"/>
    </row>
    <row r="752" ht="14.25" customHeight="1">
      <c r="B752" s="113"/>
      <c r="F752" s="118" t="s">
        <v>1552</v>
      </c>
      <c r="G752" s="118" t="s">
        <v>1553</v>
      </c>
      <c r="L752" s="61"/>
      <c r="M752" s="63"/>
      <c r="N752" s="63"/>
      <c r="O752" s="63"/>
      <c r="P752" s="63"/>
      <c r="Q752" s="63"/>
      <c r="R752" s="63"/>
      <c r="S752" s="63"/>
      <c r="T752" s="63"/>
      <c r="U752" s="63"/>
      <c r="V752" s="63"/>
      <c r="W752" s="636"/>
      <c r="X752" s="634"/>
      <c r="Y752" s="635"/>
      <c r="Z752" s="65"/>
    </row>
    <row r="753" ht="14.25" customHeight="1">
      <c r="B753" s="113"/>
      <c r="F753" s="118" t="s">
        <v>1554</v>
      </c>
      <c r="G753" s="118" t="s">
        <v>1555</v>
      </c>
      <c r="L753" s="61"/>
      <c r="M753" s="63"/>
      <c r="N753" s="63"/>
      <c r="O753" s="63"/>
      <c r="P753" s="63"/>
      <c r="Q753" s="63"/>
      <c r="R753" s="63"/>
      <c r="S753" s="63"/>
      <c r="T753" s="63"/>
      <c r="U753" s="63"/>
      <c r="V753" s="63"/>
      <c r="W753" s="636"/>
      <c r="X753" s="634"/>
      <c r="Y753" s="635"/>
      <c r="Z753" s="65"/>
    </row>
    <row r="754" ht="14.25" customHeight="1">
      <c r="B754" s="113"/>
      <c r="F754" s="118" t="s">
        <v>1556</v>
      </c>
      <c r="G754" s="118" t="s">
        <v>1557</v>
      </c>
      <c r="L754" s="61"/>
      <c r="M754" s="63"/>
      <c r="N754" s="63"/>
      <c r="O754" s="63"/>
      <c r="P754" s="63"/>
      <c r="Q754" s="63"/>
      <c r="R754" s="63"/>
      <c r="S754" s="63"/>
      <c r="T754" s="63"/>
      <c r="U754" s="63"/>
      <c r="V754" s="63"/>
      <c r="W754" s="636"/>
      <c r="X754" s="634"/>
      <c r="Y754" s="635"/>
      <c r="Z754" s="65"/>
    </row>
    <row r="755" ht="14.25" customHeight="1">
      <c r="B755" s="113"/>
      <c r="F755" s="118" t="s">
        <v>1558</v>
      </c>
      <c r="G755" s="118" t="s">
        <v>1559</v>
      </c>
      <c r="L755" s="61"/>
      <c r="M755" s="63"/>
      <c r="N755" s="63"/>
      <c r="O755" s="63"/>
      <c r="P755" s="63"/>
      <c r="Q755" s="63"/>
      <c r="R755" s="63"/>
      <c r="S755" s="63"/>
      <c r="T755" s="63"/>
      <c r="U755" s="63"/>
      <c r="V755" s="63"/>
      <c r="W755" s="636"/>
      <c r="X755" s="634"/>
      <c r="Y755" s="635"/>
      <c r="Z755" s="65"/>
    </row>
    <row r="756" ht="14.25" customHeight="1">
      <c r="B756" s="113"/>
      <c r="F756" s="118" t="s">
        <v>1560</v>
      </c>
      <c r="G756" s="118" t="s">
        <v>1561</v>
      </c>
      <c r="L756" s="61"/>
      <c r="M756" s="63"/>
      <c r="N756" s="63"/>
      <c r="O756" s="63"/>
      <c r="P756" s="63"/>
      <c r="Q756" s="63"/>
      <c r="R756" s="63"/>
      <c r="S756" s="63"/>
      <c r="T756" s="63"/>
      <c r="U756" s="63"/>
      <c r="V756" s="63"/>
      <c r="W756" s="636"/>
      <c r="X756" s="634"/>
      <c r="Y756" s="635"/>
      <c r="Z756" s="65"/>
    </row>
    <row r="757" ht="14.25" customHeight="1">
      <c r="B757" s="113"/>
      <c r="F757" s="118" t="s">
        <v>1562</v>
      </c>
      <c r="G757" s="118" t="s">
        <v>1563</v>
      </c>
      <c r="L757" s="61"/>
      <c r="M757" s="63"/>
      <c r="N757" s="63"/>
      <c r="O757" s="63"/>
      <c r="P757" s="63"/>
      <c r="Q757" s="63"/>
      <c r="R757" s="63"/>
      <c r="S757" s="63"/>
      <c r="T757" s="63"/>
      <c r="U757" s="63"/>
      <c r="V757" s="63"/>
      <c r="W757" s="636"/>
      <c r="X757" s="634"/>
      <c r="Y757" s="635"/>
      <c r="Z757" s="65"/>
    </row>
    <row r="758" ht="14.25" customHeight="1">
      <c r="B758" s="113"/>
      <c r="F758" s="118" t="s">
        <v>1564</v>
      </c>
      <c r="G758" s="118" t="s">
        <v>1565</v>
      </c>
      <c r="L758" s="61"/>
      <c r="M758" s="63"/>
      <c r="N758" s="63"/>
      <c r="O758" s="63"/>
      <c r="P758" s="63"/>
      <c r="Q758" s="63"/>
      <c r="R758" s="63"/>
      <c r="S758" s="63"/>
      <c r="T758" s="63"/>
      <c r="U758" s="63"/>
      <c r="V758" s="63"/>
      <c r="W758" s="636"/>
      <c r="X758" s="634"/>
      <c r="Y758" s="635"/>
      <c r="Z758" s="65"/>
    </row>
    <row r="759" ht="14.25" customHeight="1">
      <c r="B759" s="113"/>
      <c r="F759" s="118" t="s">
        <v>1566</v>
      </c>
      <c r="G759" s="118" t="s">
        <v>1567</v>
      </c>
      <c r="L759" s="61"/>
      <c r="M759" s="63"/>
      <c r="N759" s="63"/>
      <c r="O759" s="63"/>
      <c r="P759" s="63"/>
      <c r="Q759" s="63"/>
      <c r="R759" s="63"/>
      <c r="S759" s="63"/>
      <c r="T759" s="63"/>
      <c r="U759" s="63"/>
      <c r="V759" s="63"/>
      <c r="W759" s="636"/>
      <c r="X759" s="634"/>
      <c r="Y759" s="635"/>
      <c r="Z759" s="65"/>
    </row>
    <row r="760" ht="14.25" customHeight="1">
      <c r="B760" s="113"/>
      <c r="F760" s="118" t="s">
        <v>1568</v>
      </c>
      <c r="G760" s="118" t="s">
        <v>1569</v>
      </c>
      <c r="L760" s="61"/>
      <c r="M760" s="63"/>
      <c r="N760" s="63"/>
      <c r="O760" s="63"/>
      <c r="P760" s="63"/>
      <c r="Q760" s="63"/>
      <c r="R760" s="63"/>
      <c r="S760" s="63"/>
      <c r="T760" s="63"/>
      <c r="U760" s="63"/>
      <c r="V760" s="63"/>
      <c r="W760" s="636"/>
      <c r="X760" s="634"/>
      <c r="Y760" s="635"/>
      <c r="Z760" s="65"/>
    </row>
    <row r="761" ht="14.25" customHeight="1">
      <c r="B761" s="113"/>
      <c r="F761" s="118" t="s">
        <v>1570</v>
      </c>
      <c r="G761" s="118" t="s">
        <v>1571</v>
      </c>
      <c r="L761" s="61"/>
      <c r="M761" s="63"/>
      <c r="N761" s="63"/>
      <c r="O761" s="63"/>
      <c r="P761" s="63"/>
      <c r="Q761" s="63"/>
      <c r="R761" s="63"/>
      <c r="S761" s="63"/>
      <c r="T761" s="63"/>
      <c r="U761" s="63"/>
      <c r="V761" s="63"/>
      <c r="W761" s="636"/>
      <c r="X761" s="634"/>
      <c r="Y761" s="635"/>
      <c r="Z761" s="65"/>
    </row>
    <row r="762" ht="14.25" customHeight="1">
      <c r="B762" s="113"/>
      <c r="F762" s="118" t="s">
        <v>1572</v>
      </c>
      <c r="G762" s="118" t="s">
        <v>1573</v>
      </c>
      <c r="L762" s="61"/>
      <c r="M762" s="63"/>
      <c r="N762" s="63">
        <v>0.0</v>
      </c>
      <c r="O762" s="63">
        <v>0.0</v>
      </c>
      <c r="P762" s="63">
        <v>0.0</v>
      </c>
      <c r="Q762" s="63">
        <v>0.0</v>
      </c>
      <c r="R762" s="63"/>
      <c r="S762" s="63">
        <v>0.0</v>
      </c>
      <c r="T762" s="63">
        <v>0.0</v>
      </c>
      <c r="U762" s="63">
        <v>0.0</v>
      </c>
      <c r="V762" s="63">
        <v>0.0</v>
      </c>
      <c r="W762" s="636"/>
      <c r="X762" s="634"/>
      <c r="Y762" s="635"/>
      <c r="Z762" s="65"/>
    </row>
    <row r="763" ht="14.25" customHeight="1">
      <c r="B763" s="113"/>
      <c r="G763" s="118" t="s">
        <v>1574</v>
      </c>
      <c r="L763" s="61"/>
      <c r="M763" s="63"/>
      <c r="N763" s="63"/>
      <c r="O763" s="63"/>
      <c r="P763" s="63"/>
      <c r="Q763" s="63"/>
      <c r="R763" s="63"/>
      <c r="S763" s="63"/>
      <c r="T763" s="63"/>
      <c r="U763" s="63"/>
      <c r="V763" s="63"/>
      <c r="W763" s="636"/>
      <c r="X763" s="634"/>
      <c r="Y763" s="635"/>
      <c r="Z763" s="65"/>
    </row>
    <row r="764" ht="14.25" customHeight="1">
      <c r="B764" s="113"/>
      <c r="G764" s="118" t="s">
        <v>1575</v>
      </c>
      <c r="L764" s="61"/>
      <c r="M764" s="63"/>
      <c r="N764" s="63"/>
      <c r="O764" s="63"/>
      <c r="P764" s="63"/>
      <c r="Q764" s="63"/>
      <c r="R764" s="63"/>
      <c r="S764" s="63"/>
      <c r="T764" s="63"/>
      <c r="U764" s="63"/>
      <c r="V764" s="63"/>
      <c r="W764" s="636"/>
      <c r="X764" s="634"/>
      <c r="Y764" s="635"/>
      <c r="Z764" s="65"/>
    </row>
    <row r="765" ht="14.25" customHeight="1">
      <c r="B765" s="113"/>
      <c r="G765" s="118" t="s">
        <v>1576</v>
      </c>
      <c r="L765" s="61"/>
      <c r="M765" s="63"/>
      <c r="N765" s="63"/>
      <c r="O765" s="63"/>
      <c r="P765" s="63"/>
      <c r="Q765" s="63"/>
      <c r="R765" s="63"/>
      <c r="S765" s="63"/>
      <c r="T765" s="63"/>
      <c r="U765" s="63"/>
      <c r="V765" s="63"/>
      <c r="W765" s="636"/>
      <c r="X765" s="634"/>
      <c r="Y765" s="635"/>
      <c r="Z765" s="65"/>
    </row>
    <row r="766" ht="14.25" customHeight="1">
      <c r="B766" s="113"/>
      <c r="L766" s="61"/>
      <c r="M766" s="63"/>
      <c r="N766" s="63"/>
      <c r="O766" s="63"/>
      <c r="P766" s="63"/>
      <c r="Q766" s="63"/>
      <c r="R766" s="63"/>
      <c r="S766" s="63"/>
      <c r="T766" s="63"/>
      <c r="U766" s="63"/>
      <c r="V766" s="63"/>
      <c r="W766" s="636"/>
      <c r="X766" s="634"/>
      <c r="Y766" s="635"/>
      <c r="Z766" s="65"/>
    </row>
    <row r="767" ht="14.25" customHeight="1">
      <c r="B767" s="113"/>
      <c r="E767" s="118" t="s">
        <v>1286</v>
      </c>
      <c r="F767" s="118" t="s">
        <v>1077</v>
      </c>
      <c r="L767" s="61"/>
      <c r="M767" s="63"/>
      <c r="N767" s="63"/>
      <c r="O767" s="63"/>
      <c r="P767" s="63"/>
      <c r="Q767" s="63"/>
      <c r="R767" s="63"/>
      <c r="S767" s="63"/>
      <c r="T767" s="63"/>
      <c r="U767" s="63"/>
      <c r="V767" s="63"/>
      <c r="W767" s="636"/>
      <c r="X767" s="634"/>
      <c r="Y767" s="635"/>
      <c r="Z767" s="65"/>
    </row>
    <row r="768" ht="14.25" customHeight="1">
      <c r="B768" s="113"/>
      <c r="E768" s="118" t="s">
        <v>1577</v>
      </c>
      <c r="F768" s="118" t="s">
        <v>1578</v>
      </c>
      <c r="L768" s="61"/>
      <c r="M768" s="63"/>
      <c r="N768" s="63"/>
      <c r="O768" s="63"/>
      <c r="P768" s="63"/>
      <c r="Q768" s="63"/>
      <c r="R768" s="63"/>
      <c r="S768" s="63"/>
      <c r="T768" s="63"/>
      <c r="U768" s="63"/>
      <c r="V768" s="63"/>
      <c r="W768" s="636"/>
      <c r="X768" s="634"/>
      <c r="Y768" s="635"/>
      <c r="Z768" s="65"/>
    </row>
    <row r="769" ht="14.25" customHeight="1">
      <c r="B769" s="113"/>
      <c r="E769" s="118" t="s">
        <v>1579</v>
      </c>
      <c r="F769" s="118" t="s">
        <v>1580</v>
      </c>
      <c r="L769" s="61"/>
      <c r="M769" s="63"/>
      <c r="N769" s="63"/>
      <c r="O769" s="63"/>
      <c r="P769" s="63"/>
      <c r="Q769" s="63"/>
      <c r="R769" s="63"/>
      <c r="S769" s="63"/>
      <c r="T769" s="63"/>
      <c r="U769" s="63"/>
      <c r="V769" s="63"/>
      <c r="W769" s="636"/>
      <c r="X769" s="634"/>
      <c r="Y769" s="635"/>
      <c r="Z769" s="65"/>
    </row>
    <row r="770" ht="14.25" customHeight="1">
      <c r="B770" s="113"/>
      <c r="E770" s="118" t="s">
        <v>1581</v>
      </c>
      <c r="F770" s="118" t="s">
        <v>1582</v>
      </c>
      <c r="L770" s="61"/>
      <c r="M770" s="63"/>
      <c r="N770" s="63"/>
      <c r="O770" s="63"/>
      <c r="P770" s="63"/>
      <c r="Q770" s="63"/>
      <c r="R770" s="63"/>
      <c r="S770" s="63"/>
      <c r="T770" s="63"/>
      <c r="U770" s="63"/>
      <c r="V770" s="63"/>
      <c r="W770" s="636"/>
      <c r="X770" s="634"/>
      <c r="Y770" s="635"/>
      <c r="Z770" s="65"/>
    </row>
    <row r="771" ht="14.25" customHeight="1">
      <c r="B771" s="113"/>
      <c r="L771" s="61"/>
      <c r="M771" s="63"/>
      <c r="N771" s="63"/>
      <c r="O771" s="63"/>
      <c r="P771" s="63"/>
      <c r="Q771" s="63"/>
      <c r="R771" s="63"/>
      <c r="S771" s="63"/>
      <c r="T771" s="63"/>
      <c r="U771" s="63"/>
      <c r="V771" s="63"/>
      <c r="W771" s="636"/>
      <c r="X771" s="634"/>
      <c r="Y771" s="635"/>
      <c r="Z771" s="65"/>
    </row>
    <row r="772" ht="14.25" customHeight="1">
      <c r="B772" s="113"/>
      <c r="C772" s="118" t="s">
        <v>906</v>
      </c>
      <c r="D772" s="118" t="s">
        <v>1583</v>
      </c>
      <c r="E772" s="118" t="s">
        <v>1134</v>
      </c>
      <c r="F772" s="118" t="s">
        <v>1543</v>
      </c>
      <c r="L772" s="61"/>
      <c r="M772" s="63"/>
      <c r="N772" s="63"/>
      <c r="O772" s="63"/>
      <c r="P772" s="63"/>
      <c r="Q772" s="63"/>
      <c r="R772" s="63"/>
      <c r="S772" s="63"/>
      <c r="T772" s="63"/>
      <c r="U772" s="63"/>
      <c r="V772" s="63"/>
      <c r="W772" s="636"/>
      <c r="X772" s="634"/>
      <c r="Y772" s="635"/>
      <c r="Z772" s="65"/>
    </row>
    <row r="773" ht="14.25" customHeight="1">
      <c r="B773" s="113"/>
      <c r="D773" s="118" t="s">
        <v>1584</v>
      </c>
      <c r="F773" s="118" t="s">
        <v>1585</v>
      </c>
      <c r="G773" s="118" t="s">
        <v>1544</v>
      </c>
      <c r="L773" s="61"/>
      <c r="M773" s="63"/>
      <c r="N773" s="63"/>
      <c r="O773" s="63"/>
      <c r="P773" s="63"/>
      <c r="Q773" s="63"/>
      <c r="R773" s="63"/>
      <c r="S773" s="63"/>
      <c r="T773" s="63"/>
      <c r="U773" s="63"/>
      <c r="V773" s="63"/>
      <c r="W773" s="636"/>
      <c r="X773" s="634"/>
      <c r="Y773" s="635"/>
      <c r="Z773" s="65"/>
    </row>
    <row r="774" ht="14.25" customHeight="1">
      <c r="B774" s="113"/>
      <c r="D774" s="118" t="s">
        <v>1586</v>
      </c>
      <c r="F774" s="118" t="s">
        <v>1587</v>
      </c>
      <c r="G774" s="118" t="s">
        <v>1545</v>
      </c>
      <c r="L774" s="61"/>
      <c r="M774" s="63"/>
      <c r="N774" s="63"/>
      <c r="O774" s="63"/>
      <c r="P774" s="63"/>
      <c r="Q774" s="63"/>
      <c r="R774" s="63"/>
      <c r="S774" s="63"/>
      <c r="T774" s="63"/>
      <c r="U774" s="63"/>
      <c r="V774" s="63"/>
      <c r="W774" s="636"/>
      <c r="X774" s="634"/>
      <c r="Y774" s="635"/>
      <c r="Z774" s="65"/>
    </row>
    <row r="775" ht="14.25" customHeight="1">
      <c r="B775" s="113"/>
      <c r="L775" s="61"/>
      <c r="M775" s="63"/>
      <c r="N775" s="63"/>
      <c r="O775" s="63"/>
      <c r="P775" s="63"/>
      <c r="Q775" s="63"/>
      <c r="R775" s="63"/>
      <c r="S775" s="63"/>
      <c r="T775" s="63"/>
      <c r="U775" s="63"/>
      <c r="V775" s="63"/>
      <c r="W775" s="636"/>
      <c r="X775" s="634"/>
      <c r="Y775" s="635"/>
      <c r="Z775" s="65"/>
    </row>
    <row r="776" ht="14.25" customHeight="1">
      <c r="B776" s="113"/>
      <c r="E776" s="118" t="s">
        <v>1136</v>
      </c>
      <c r="F776" s="118" t="s">
        <v>1547</v>
      </c>
      <c r="L776" s="61"/>
      <c r="M776" s="63"/>
      <c r="N776" s="63">
        <v>0.0</v>
      </c>
      <c r="O776" s="63">
        <v>0.0</v>
      </c>
      <c r="P776" s="63">
        <v>0.0</v>
      </c>
      <c r="Q776" s="63">
        <v>0.0</v>
      </c>
      <c r="R776" s="63"/>
      <c r="S776" s="63">
        <v>0.0</v>
      </c>
      <c r="T776" s="63">
        <v>0.0</v>
      </c>
      <c r="U776" s="63">
        <v>0.0</v>
      </c>
      <c r="V776" s="63">
        <v>0.0</v>
      </c>
      <c r="W776" s="636"/>
      <c r="X776" s="634"/>
      <c r="Y776" s="635"/>
      <c r="Z776" s="65"/>
    </row>
    <row r="777" ht="14.25" customHeight="1">
      <c r="B777" s="113"/>
      <c r="F777" s="118" t="s">
        <v>1588</v>
      </c>
      <c r="G777" s="118" t="s">
        <v>1549</v>
      </c>
      <c r="L777" s="61"/>
      <c r="M777" s="63"/>
      <c r="N777" s="63"/>
      <c r="O777" s="63"/>
      <c r="P777" s="63"/>
      <c r="Q777" s="63"/>
      <c r="R777" s="63"/>
      <c r="S777" s="63"/>
      <c r="T777" s="63"/>
      <c r="U777" s="63"/>
      <c r="V777" s="63"/>
      <c r="W777" s="636"/>
      <c r="X777" s="634"/>
      <c r="Y777" s="635"/>
      <c r="Z777" s="65"/>
    </row>
    <row r="778" ht="14.25" customHeight="1">
      <c r="B778" s="113"/>
      <c r="F778" s="118" t="s">
        <v>1589</v>
      </c>
      <c r="G778" s="118" t="s">
        <v>1551</v>
      </c>
      <c r="L778" s="61"/>
      <c r="M778" s="63"/>
      <c r="N778" s="63"/>
      <c r="O778" s="63"/>
      <c r="P778" s="63"/>
      <c r="Q778" s="63"/>
      <c r="R778" s="63"/>
      <c r="S778" s="63"/>
      <c r="T778" s="63"/>
      <c r="U778" s="63"/>
      <c r="V778" s="63"/>
      <c r="W778" s="636"/>
      <c r="X778" s="634"/>
      <c r="Y778" s="635"/>
      <c r="Z778" s="65"/>
    </row>
    <row r="779" ht="14.25" customHeight="1">
      <c r="B779" s="113"/>
      <c r="F779" s="118" t="s">
        <v>1590</v>
      </c>
      <c r="G779" s="118" t="s">
        <v>1553</v>
      </c>
      <c r="L779" s="61"/>
      <c r="M779" s="63"/>
      <c r="N779" s="63"/>
      <c r="O779" s="63"/>
      <c r="P779" s="63"/>
      <c r="Q779" s="63"/>
      <c r="R779" s="63"/>
      <c r="S779" s="63"/>
      <c r="T779" s="63"/>
      <c r="U779" s="63"/>
      <c r="V779" s="63"/>
      <c r="W779" s="636"/>
      <c r="X779" s="634"/>
      <c r="Y779" s="635"/>
      <c r="Z779" s="65"/>
    </row>
    <row r="780" ht="14.25" customHeight="1">
      <c r="B780" s="113"/>
      <c r="F780" s="118" t="s">
        <v>1591</v>
      </c>
      <c r="G780" s="118" t="s">
        <v>1555</v>
      </c>
      <c r="L780" s="61"/>
      <c r="M780" s="63"/>
      <c r="N780" s="63"/>
      <c r="O780" s="63"/>
      <c r="P780" s="63"/>
      <c r="Q780" s="63"/>
      <c r="R780" s="63"/>
      <c r="S780" s="63"/>
      <c r="T780" s="63"/>
      <c r="U780" s="63"/>
      <c r="V780" s="63"/>
      <c r="W780" s="636"/>
      <c r="X780" s="634"/>
      <c r="Y780" s="635"/>
      <c r="Z780" s="65"/>
    </row>
    <row r="781" ht="14.25" customHeight="1">
      <c r="B781" s="113"/>
      <c r="F781" s="118" t="s">
        <v>1592</v>
      </c>
      <c r="G781" s="118" t="s">
        <v>1593</v>
      </c>
      <c r="L781" s="61"/>
      <c r="M781" s="63"/>
      <c r="N781" s="63">
        <v>0.0</v>
      </c>
      <c r="O781" s="63">
        <v>0.0</v>
      </c>
      <c r="P781" s="63">
        <v>0.0</v>
      </c>
      <c r="Q781" s="63">
        <v>0.0</v>
      </c>
      <c r="R781" s="63"/>
      <c r="S781" s="63">
        <v>0.0</v>
      </c>
      <c r="T781" s="63">
        <v>0.0</v>
      </c>
      <c r="U781" s="63">
        <v>0.0</v>
      </c>
      <c r="V781" s="63">
        <v>0.0</v>
      </c>
      <c r="W781" s="636"/>
      <c r="X781" s="634"/>
      <c r="Y781" s="635"/>
      <c r="Z781" s="65"/>
    </row>
    <row r="782" ht="14.25" customHeight="1">
      <c r="B782" s="113"/>
      <c r="G782" s="118" t="s">
        <v>1576</v>
      </c>
      <c r="L782" s="61"/>
      <c r="M782" s="63"/>
      <c r="N782" s="63"/>
      <c r="O782" s="63"/>
      <c r="P782" s="63"/>
      <c r="Q782" s="63"/>
      <c r="R782" s="63"/>
      <c r="S782" s="63"/>
      <c r="T782" s="63"/>
      <c r="U782" s="63"/>
      <c r="V782" s="63"/>
      <c r="W782" s="636"/>
      <c r="X782" s="634"/>
      <c r="Y782" s="635"/>
      <c r="Z782" s="65"/>
    </row>
    <row r="783" ht="14.25" customHeight="1">
      <c r="B783" s="113"/>
      <c r="G783" s="118" t="s">
        <v>1576</v>
      </c>
      <c r="L783" s="61"/>
      <c r="M783" s="63"/>
      <c r="N783" s="63"/>
      <c r="O783" s="63"/>
      <c r="P783" s="63"/>
      <c r="Q783" s="63"/>
      <c r="R783" s="63"/>
      <c r="S783" s="63"/>
      <c r="T783" s="63"/>
      <c r="U783" s="63"/>
      <c r="V783" s="63"/>
      <c r="W783" s="636"/>
      <c r="X783" s="634"/>
      <c r="Y783" s="635"/>
      <c r="Z783" s="65"/>
    </row>
    <row r="784" ht="14.25" customHeight="1">
      <c r="B784" s="113"/>
      <c r="G784" s="118" t="s">
        <v>1576</v>
      </c>
      <c r="L784" s="61"/>
      <c r="M784" s="63"/>
      <c r="N784" s="63"/>
      <c r="O784" s="63"/>
      <c r="P784" s="63"/>
      <c r="Q784" s="63"/>
      <c r="R784" s="63"/>
      <c r="S784" s="63"/>
      <c r="T784" s="63"/>
      <c r="U784" s="63"/>
      <c r="V784" s="63"/>
      <c r="W784" s="636"/>
      <c r="X784" s="634"/>
      <c r="Y784" s="635"/>
      <c r="Z784" s="65"/>
    </row>
    <row r="785" ht="14.25" customHeight="1">
      <c r="B785" s="113"/>
      <c r="L785" s="61"/>
      <c r="M785" s="63"/>
      <c r="N785" s="63"/>
      <c r="O785" s="63"/>
      <c r="P785" s="63"/>
      <c r="Q785" s="63"/>
      <c r="R785" s="63"/>
      <c r="S785" s="63"/>
      <c r="T785" s="63"/>
      <c r="U785" s="63"/>
      <c r="V785" s="63"/>
      <c r="W785" s="636"/>
      <c r="X785" s="634"/>
      <c r="Y785" s="635"/>
      <c r="Z785" s="65"/>
    </row>
    <row r="786" ht="14.25" customHeight="1">
      <c r="B786" s="113"/>
      <c r="C786" s="118" t="s">
        <v>924</v>
      </c>
      <c r="D786" s="118" t="s">
        <v>1594</v>
      </c>
      <c r="E786" s="118" t="s">
        <v>1139</v>
      </c>
      <c r="F786" s="118" t="s">
        <v>1595</v>
      </c>
      <c r="L786" s="61"/>
      <c r="M786" s="63"/>
      <c r="N786" s="63"/>
      <c r="O786" s="63"/>
      <c r="P786" s="63"/>
      <c r="Q786" s="63"/>
      <c r="R786" s="63"/>
      <c r="S786" s="63"/>
      <c r="T786" s="63"/>
      <c r="U786" s="63"/>
      <c r="V786" s="63"/>
      <c r="W786" s="636"/>
      <c r="X786" s="634"/>
      <c r="Y786" s="635"/>
      <c r="Z786" s="65"/>
    </row>
    <row r="787" ht="14.25" customHeight="1">
      <c r="B787" s="113"/>
      <c r="D787" s="118" t="s">
        <v>1596</v>
      </c>
      <c r="E787" s="118" t="s">
        <v>1141</v>
      </c>
      <c r="F787" s="118" t="s">
        <v>1597</v>
      </c>
      <c r="L787" s="61"/>
      <c r="M787" s="63"/>
      <c r="N787" s="63"/>
      <c r="O787" s="63"/>
      <c r="P787" s="63"/>
      <c r="Q787" s="63"/>
      <c r="R787" s="63"/>
      <c r="S787" s="63"/>
      <c r="T787" s="63"/>
      <c r="U787" s="63"/>
      <c r="V787" s="63"/>
      <c r="W787" s="636"/>
      <c r="X787" s="634"/>
      <c r="Y787" s="635"/>
      <c r="Z787" s="65"/>
    </row>
    <row r="788" ht="14.25" customHeight="1">
      <c r="B788" s="113"/>
      <c r="D788" s="118" t="s">
        <v>1598</v>
      </c>
      <c r="E788" s="118" t="s">
        <v>1599</v>
      </c>
      <c r="F788" s="118" t="s">
        <v>1600</v>
      </c>
      <c r="L788" s="61"/>
      <c r="M788" s="63"/>
      <c r="N788" s="63">
        <v>0.0</v>
      </c>
      <c r="O788" s="63">
        <v>0.0</v>
      </c>
      <c r="P788" s="63">
        <v>0.0</v>
      </c>
      <c r="Q788" s="63">
        <v>0.0</v>
      </c>
      <c r="R788" s="63"/>
      <c r="S788" s="63">
        <v>0.0</v>
      </c>
      <c r="T788" s="63">
        <v>0.0</v>
      </c>
      <c r="U788" s="63">
        <v>0.0</v>
      </c>
      <c r="V788" s="63">
        <v>0.0</v>
      </c>
      <c r="W788" s="636"/>
      <c r="X788" s="634"/>
      <c r="Y788" s="635"/>
      <c r="Z788" s="65"/>
    </row>
    <row r="789" ht="14.25" customHeight="1">
      <c r="B789" s="113"/>
      <c r="D789" s="118" t="s">
        <v>1601</v>
      </c>
      <c r="F789" s="118" t="s">
        <v>1602</v>
      </c>
      <c r="G789" s="118" t="s">
        <v>1603</v>
      </c>
      <c r="L789" s="61"/>
      <c r="M789" s="63"/>
      <c r="N789" s="63"/>
      <c r="O789" s="63"/>
      <c r="P789" s="63"/>
      <c r="Q789" s="63"/>
      <c r="R789" s="63"/>
      <c r="S789" s="63"/>
      <c r="T789" s="63"/>
      <c r="U789" s="63"/>
      <c r="V789" s="63"/>
      <c r="W789" s="636"/>
      <c r="X789" s="634"/>
      <c r="Y789" s="635"/>
      <c r="Z789" s="65"/>
    </row>
    <row r="790" ht="14.25" customHeight="1">
      <c r="B790" s="113"/>
      <c r="F790" s="118" t="s">
        <v>1604</v>
      </c>
      <c r="G790" s="118" t="s">
        <v>1605</v>
      </c>
      <c r="L790" s="61"/>
      <c r="M790" s="63"/>
      <c r="N790" s="63"/>
      <c r="O790" s="63"/>
      <c r="P790" s="63"/>
      <c r="Q790" s="63"/>
      <c r="R790" s="63"/>
      <c r="S790" s="63"/>
      <c r="T790" s="63"/>
      <c r="U790" s="63"/>
      <c r="V790" s="63"/>
      <c r="W790" s="636"/>
      <c r="X790" s="634"/>
      <c r="Y790" s="635"/>
      <c r="Z790" s="65"/>
    </row>
    <row r="791" ht="14.25" customHeight="1">
      <c r="B791" s="113"/>
      <c r="F791" s="118" t="s">
        <v>1606</v>
      </c>
      <c r="G791" s="118" t="s">
        <v>1607</v>
      </c>
      <c r="L791" s="61"/>
      <c r="M791" s="63"/>
      <c r="N791" s="63"/>
      <c r="O791" s="63"/>
      <c r="P791" s="63"/>
      <c r="Q791" s="63"/>
      <c r="R791" s="63"/>
      <c r="S791" s="63"/>
      <c r="T791" s="63"/>
      <c r="U791" s="63"/>
      <c r="V791" s="63"/>
      <c r="W791" s="636"/>
      <c r="X791" s="634"/>
      <c r="Y791" s="635"/>
      <c r="Z791" s="65"/>
    </row>
    <row r="792" ht="14.25" customHeight="1">
      <c r="B792" s="113"/>
      <c r="L792" s="61"/>
      <c r="M792" s="63"/>
      <c r="N792" s="63"/>
      <c r="O792" s="63"/>
      <c r="P792" s="63"/>
      <c r="Q792" s="63"/>
      <c r="R792" s="63"/>
      <c r="S792" s="63"/>
      <c r="T792" s="63"/>
      <c r="U792" s="63"/>
      <c r="V792" s="63"/>
      <c r="W792" s="636"/>
      <c r="X792" s="634"/>
      <c r="Y792" s="635"/>
      <c r="Z792" s="65"/>
    </row>
    <row r="793" ht="14.25" customHeight="1">
      <c r="B793" s="113"/>
      <c r="C793" s="118" t="s">
        <v>926</v>
      </c>
      <c r="D793" s="118" t="s">
        <v>1608</v>
      </c>
      <c r="E793" s="118" t="s">
        <v>1144</v>
      </c>
      <c r="F793" s="118" t="s">
        <v>1609</v>
      </c>
      <c r="L793" s="61"/>
      <c r="M793" s="63"/>
      <c r="N793" s="63"/>
      <c r="O793" s="63"/>
      <c r="P793" s="63"/>
      <c r="Q793" s="63"/>
      <c r="R793" s="63"/>
      <c r="S793" s="63"/>
      <c r="T793" s="63"/>
      <c r="U793" s="63"/>
      <c r="V793" s="63"/>
      <c r="W793" s="636"/>
      <c r="X793" s="634"/>
      <c r="Y793" s="635"/>
      <c r="Z793" s="65"/>
    </row>
    <row r="794" ht="14.25" customHeight="1">
      <c r="B794" s="113"/>
      <c r="D794" s="118" t="s">
        <v>1610</v>
      </c>
      <c r="E794" s="118" t="s">
        <v>1473</v>
      </c>
      <c r="F794" s="118" t="s">
        <v>1611</v>
      </c>
      <c r="L794" s="61"/>
      <c r="M794" s="63"/>
      <c r="N794" s="63">
        <v>0.0</v>
      </c>
      <c r="O794" s="63">
        <v>0.0</v>
      </c>
      <c r="P794" s="63">
        <v>0.0</v>
      </c>
      <c r="Q794" s="63">
        <v>0.0</v>
      </c>
      <c r="R794" s="63"/>
      <c r="S794" s="63">
        <v>0.0</v>
      </c>
      <c r="T794" s="63">
        <v>0.0</v>
      </c>
      <c r="U794" s="63">
        <v>0.0</v>
      </c>
      <c r="V794" s="63">
        <v>0.0</v>
      </c>
      <c r="W794" s="636"/>
      <c r="X794" s="634"/>
      <c r="Y794" s="635"/>
      <c r="Z794" s="65"/>
    </row>
    <row r="795" ht="14.25" customHeight="1">
      <c r="B795" s="113"/>
      <c r="F795" s="118" t="s">
        <v>1612</v>
      </c>
      <c r="G795" s="118" t="s">
        <v>1613</v>
      </c>
      <c r="L795" s="61"/>
      <c r="M795" s="63"/>
      <c r="N795" s="63"/>
      <c r="O795" s="63"/>
      <c r="P795" s="63"/>
      <c r="Q795" s="63"/>
      <c r="R795" s="63"/>
      <c r="S795" s="63"/>
      <c r="T795" s="63"/>
      <c r="U795" s="63"/>
      <c r="V795" s="63"/>
      <c r="W795" s="636"/>
      <c r="X795" s="634"/>
      <c r="Y795" s="635"/>
      <c r="Z795" s="65"/>
    </row>
    <row r="796" ht="14.25" customHeight="1">
      <c r="B796" s="113"/>
      <c r="F796" s="118" t="s">
        <v>1614</v>
      </c>
      <c r="G796" s="118" t="s">
        <v>1615</v>
      </c>
      <c r="L796" s="61"/>
      <c r="M796" s="63"/>
      <c r="N796" s="63"/>
      <c r="O796" s="63"/>
      <c r="P796" s="63"/>
      <c r="Q796" s="63"/>
      <c r="R796" s="63"/>
      <c r="S796" s="63"/>
      <c r="T796" s="63"/>
      <c r="U796" s="63"/>
      <c r="V796" s="63"/>
      <c r="W796" s="636"/>
      <c r="X796" s="634"/>
      <c r="Y796" s="635"/>
      <c r="Z796" s="65"/>
    </row>
    <row r="797" ht="14.25" customHeight="1">
      <c r="B797" s="113"/>
      <c r="F797" s="118" t="s">
        <v>1616</v>
      </c>
      <c r="G797" s="118" t="s">
        <v>1617</v>
      </c>
      <c r="L797" s="61"/>
      <c r="M797" s="63"/>
      <c r="N797" s="63"/>
      <c r="O797" s="63"/>
      <c r="P797" s="63"/>
      <c r="Q797" s="63"/>
      <c r="R797" s="63"/>
      <c r="S797" s="63"/>
      <c r="T797" s="63"/>
      <c r="U797" s="63"/>
      <c r="V797" s="63"/>
      <c r="W797" s="636"/>
      <c r="X797" s="634"/>
      <c r="Y797" s="635"/>
      <c r="Z797" s="65"/>
    </row>
    <row r="798" ht="14.25" customHeight="1">
      <c r="B798" s="113"/>
      <c r="F798" s="118" t="s">
        <v>1618</v>
      </c>
      <c r="G798" s="118" t="s">
        <v>1619</v>
      </c>
      <c r="L798" s="61"/>
      <c r="M798" s="63"/>
      <c r="N798" s="63"/>
      <c r="O798" s="63"/>
      <c r="P798" s="63"/>
      <c r="Q798" s="63"/>
      <c r="R798" s="63"/>
      <c r="S798" s="63"/>
      <c r="T798" s="63"/>
      <c r="U798" s="63"/>
      <c r="V798" s="63"/>
      <c r="W798" s="636"/>
      <c r="X798" s="634"/>
      <c r="Y798" s="635"/>
      <c r="Z798" s="65"/>
    </row>
    <row r="799" ht="14.25" customHeight="1">
      <c r="B799" s="113"/>
      <c r="L799" s="61"/>
      <c r="M799" s="63"/>
      <c r="N799" s="63"/>
      <c r="O799" s="63"/>
      <c r="P799" s="63"/>
      <c r="Q799" s="63"/>
      <c r="R799" s="63"/>
      <c r="S799" s="63"/>
      <c r="T799" s="63"/>
      <c r="U799" s="63"/>
      <c r="V799" s="63"/>
      <c r="W799" s="636"/>
      <c r="X799" s="634"/>
      <c r="Y799" s="635"/>
      <c r="Z799" s="65"/>
    </row>
    <row r="800" ht="14.25" customHeight="1">
      <c r="B800" s="113"/>
      <c r="C800" s="118" t="s">
        <v>937</v>
      </c>
      <c r="D800" s="118" t="s">
        <v>1620</v>
      </c>
      <c r="E800" s="118" t="s">
        <v>1154</v>
      </c>
      <c r="F800" s="118" t="s">
        <v>1621</v>
      </c>
      <c r="L800" s="61"/>
      <c r="M800" s="63"/>
      <c r="N800" s="63"/>
      <c r="O800" s="63"/>
      <c r="P800" s="63"/>
      <c r="Q800" s="63"/>
      <c r="R800" s="63"/>
      <c r="S800" s="63"/>
      <c r="T800" s="63"/>
      <c r="U800" s="63"/>
      <c r="V800" s="63"/>
      <c r="W800" s="636"/>
      <c r="X800" s="634"/>
      <c r="Y800" s="635"/>
      <c r="Z800" s="65"/>
    </row>
    <row r="801" ht="14.25" customHeight="1">
      <c r="B801" s="113"/>
      <c r="D801" s="118" t="s">
        <v>1622</v>
      </c>
      <c r="E801" s="118" t="s">
        <v>1156</v>
      </c>
      <c r="F801" s="118" t="s">
        <v>1623</v>
      </c>
      <c r="L801" s="61"/>
      <c r="M801" s="63"/>
      <c r="N801" s="63"/>
      <c r="O801" s="63"/>
      <c r="P801" s="63"/>
      <c r="Q801" s="63"/>
      <c r="R801" s="63"/>
      <c r="S801" s="63"/>
      <c r="T801" s="63"/>
      <c r="U801" s="63"/>
      <c r="V801" s="63"/>
      <c r="W801" s="636"/>
      <c r="X801" s="634"/>
      <c r="Y801" s="635"/>
      <c r="Z801" s="65"/>
    </row>
    <row r="802" ht="14.25" customHeight="1">
      <c r="B802" s="113"/>
      <c r="D802" s="118" t="s">
        <v>1624</v>
      </c>
      <c r="E802" s="118" t="s">
        <v>1625</v>
      </c>
      <c r="F802" s="118" t="s">
        <v>1626</v>
      </c>
      <c r="L802" s="61"/>
      <c r="M802" s="63"/>
      <c r="N802" s="63"/>
      <c r="O802" s="63"/>
      <c r="P802" s="63"/>
      <c r="Q802" s="63"/>
      <c r="R802" s="63"/>
      <c r="S802" s="63"/>
      <c r="T802" s="63"/>
      <c r="U802" s="63"/>
      <c r="V802" s="63"/>
      <c r="W802" s="636"/>
      <c r="X802" s="634"/>
      <c r="Y802" s="635"/>
      <c r="Z802" s="65"/>
    </row>
    <row r="803" ht="14.25" customHeight="1">
      <c r="B803" s="113"/>
      <c r="D803" s="118" t="s">
        <v>1627</v>
      </c>
      <c r="E803" s="118" t="s">
        <v>1628</v>
      </c>
      <c r="F803" s="118" t="s">
        <v>1629</v>
      </c>
      <c r="L803" s="61"/>
      <c r="M803" s="63"/>
      <c r="N803" s="63">
        <v>0.0</v>
      </c>
      <c r="O803" s="63">
        <v>0.0</v>
      </c>
      <c r="P803" s="63">
        <v>0.0</v>
      </c>
      <c r="Q803" s="63">
        <v>0.0</v>
      </c>
      <c r="R803" s="63"/>
      <c r="S803" s="63">
        <v>0.0</v>
      </c>
      <c r="T803" s="63">
        <v>0.0</v>
      </c>
      <c r="U803" s="63">
        <v>0.0</v>
      </c>
      <c r="V803" s="63">
        <v>0.0</v>
      </c>
      <c r="W803" s="636"/>
      <c r="X803" s="634"/>
      <c r="Y803" s="635"/>
      <c r="Z803" s="65"/>
    </row>
    <row r="804" ht="14.25" customHeight="1">
      <c r="B804" s="113"/>
      <c r="G804" s="118" t="s">
        <v>1576</v>
      </c>
      <c r="L804" s="61"/>
      <c r="M804" s="63"/>
      <c r="N804" s="63"/>
      <c r="O804" s="63"/>
      <c r="P804" s="63"/>
      <c r="Q804" s="63"/>
      <c r="R804" s="63"/>
      <c r="S804" s="63"/>
      <c r="T804" s="63"/>
      <c r="U804" s="63"/>
      <c r="V804" s="63"/>
      <c r="W804" s="636"/>
      <c r="X804" s="634"/>
      <c r="Y804" s="635"/>
      <c r="Z804" s="65"/>
    </row>
    <row r="805" ht="14.25" customHeight="1">
      <c r="B805" s="113"/>
      <c r="G805" s="118" t="s">
        <v>1576</v>
      </c>
      <c r="L805" s="61"/>
      <c r="M805" s="63"/>
      <c r="N805" s="63"/>
      <c r="O805" s="63"/>
      <c r="P805" s="63"/>
      <c r="Q805" s="63"/>
      <c r="R805" s="63"/>
      <c r="S805" s="63"/>
      <c r="T805" s="63"/>
      <c r="U805" s="63"/>
      <c r="V805" s="63"/>
      <c r="W805" s="636"/>
      <c r="X805" s="634"/>
      <c r="Y805" s="635"/>
      <c r="Z805" s="65"/>
    </row>
    <row r="806" ht="14.25" customHeight="1">
      <c r="B806" s="113"/>
      <c r="G806" s="118" t="s">
        <v>1576</v>
      </c>
      <c r="L806" s="61"/>
      <c r="M806" s="63"/>
      <c r="N806" s="63"/>
      <c r="O806" s="63"/>
      <c r="P806" s="63"/>
      <c r="Q806" s="63"/>
      <c r="R806" s="63"/>
      <c r="S806" s="63"/>
      <c r="T806" s="63"/>
      <c r="U806" s="63"/>
      <c r="V806" s="63"/>
      <c r="W806" s="636"/>
      <c r="X806" s="634"/>
      <c r="Y806" s="635"/>
      <c r="Z806" s="65"/>
    </row>
    <row r="807" ht="14.25" customHeight="1">
      <c r="B807" s="113"/>
      <c r="L807" s="61"/>
      <c r="M807" s="63"/>
      <c r="N807" s="63"/>
      <c r="O807" s="63"/>
      <c r="P807" s="63"/>
      <c r="Q807" s="63"/>
      <c r="R807" s="63"/>
      <c r="S807" s="63"/>
      <c r="T807" s="63"/>
      <c r="U807" s="63"/>
      <c r="V807" s="63"/>
      <c r="W807" s="636"/>
      <c r="X807" s="634"/>
      <c r="Y807" s="635"/>
      <c r="Z807" s="65"/>
    </row>
    <row r="808" ht="14.25" customHeight="1">
      <c r="B808" s="113"/>
      <c r="C808" s="118" t="s">
        <v>941</v>
      </c>
      <c r="D808" s="118" t="s">
        <v>1630</v>
      </c>
      <c r="E808" s="118" t="s">
        <v>1160</v>
      </c>
      <c r="F808" s="118" t="s">
        <v>1631</v>
      </c>
      <c r="L808" s="61"/>
      <c r="M808" s="63"/>
      <c r="N808" s="63"/>
      <c r="O808" s="63"/>
      <c r="P808" s="63"/>
      <c r="Q808" s="63"/>
      <c r="R808" s="63"/>
      <c r="S808" s="63"/>
      <c r="T808" s="63"/>
      <c r="U808" s="63"/>
      <c r="V808" s="63"/>
      <c r="W808" s="636"/>
      <c r="X808" s="634"/>
      <c r="Y808" s="635"/>
      <c r="Z808" s="65"/>
    </row>
    <row r="809" ht="14.25" customHeight="1">
      <c r="B809" s="113"/>
      <c r="D809" s="118" t="s">
        <v>1632</v>
      </c>
      <c r="E809" s="118" t="s">
        <v>1162</v>
      </c>
      <c r="F809" s="118" t="s">
        <v>1633</v>
      </c>
      <c r="L809" s="61"/>
      <c r="M809" s="63"/>
      <c r="N809" s="63">
        <v>0.0</v>
      </c>
      <c r="O809" s="63">
        <v>0.0</v>
      </c>
      <c r="P809" s="63">
        <v>0.0</v>
      </c>
      <c r="Q809" s="63">
        <v>0.0</v>
      </c>
      <c r="R809" s="63"/>
      <c r="S809" s="63">
        <v>0.0</v>
      </c>
      <c r="T809" s="63">
        <v>0.0</v>
      </c>
      <c r="U809" s="63">
        <v>0.0</v>
      </c>
      <c r="V809" s="63">
        <v>0.0</v>
      </c>
      <c r="W809" s="636"/>
      <c r="X809" s="634"/>
      <c r="Y809" s="635"/>
      <c r="Z809" s="65"/>
    </row>
    <row r="810" ht="14.25" customHeight="1">
      <c r="B810" s="113"/>
      <c r="D810" s="118" t="s">
        <v>1634</v>
      </c>
      <c r="F810" s="118" t="s">
        <v>1635</v>
      </c>
      <c r="G810" s="118" t="s">
        <v>1636</v>
      </c>
      <c r="L810" s="61"/>
      <c r="M810" s="63"/>
      <c r="N810" s="63"/>
      <c r="O810" s="63"/>
      <c r="P810" s="63"/>
      <c r="Q810" s="63"/>
      <c r="R810" s="63"/>
      <c r="S810" s="63"/>
      <c r="T810" s="63"/>
      <c r="U810" s="63"/>
      <c r="V810" s="63"/>
      <c r="W810" s="636"/>
      <c r="X810" s="634"/>
      <c r="Y810" s="635"/>
      <c r="Z810" s="65"/>
    </row>
    <row r="811" ht="14.25" customHeight="1">
      <c r="B811" s="113"/>
      <c r="D811" s="118" t="s">
        <v>1637</v>
      </c>
      <c r="F811" s="118" t="s">
        <v>1638</v>
      </c>
      <c r="G811" s="118" t="s">
        <v>1639</v>
      </c>
      <c r="L811" s="61"/>
      <c r="M811" s="63"/>
      <c r="N811" s="63"/>
      <c r="O811" s="63"/>
      <c r="P811" s="63"/>
      <c r="Q811" s="63"/>
      <c r="R811" s="63"/>
      <c r="S811" s="63"/>
      <c r="T811" s="63"/>
      <c r="U811" s="63"/>
      <c r="V811" s="63"/>
      <c r="W811" s="636"/>
      <c r="X811" s="634"/>
      <c r="Y811" s="635"/>
      <c r="Z811" s="65"/>
    </row>
    <row r="812" ht="14.25" customHeight="1">
      <c r="B812" s="113"/>
      <c r="L812" s="61"/>
      <c r="M812" s="63"/>
      <c r="N812" s="63"/>
      <c r="O812" s="63"/>
      <c r="P812" s="63"/>
      <c r="Q812" s="63"/>
      <c r="R812" s="63"/>
      <c r="S812" s="63"/>
      <c r="T812" s="63"/>
      <c r="U812" s="63"/>
      <c r="V812" s="63"/>
      <c r="W812" s="636"/>
      <c r="X812" s="634"/>
      <c r="Y812" s="635"/>
      <c r="Z812" s="65"/>
    </row>
    <row r="813" ht="14.25" customHeight="1">
      <c r="B813" s="113"/>
      <c r="C813" s="118" t="s">
        <v>1167</v>
      </c>
      <c r="D813" s="118" t="s">
        <v>1640</v>
      </c>
      <c r="E813" s="118" t="s">
        <v>1169</v>
      </c>
      <c r="F813" s="118" t="s">
        <v>1595</v>
      </c>
      <c r="L813" s="61"/>
      <c r="M813" s="63"/>
      <c r="N813" s="63"/>
      <c r="O813" s="63"/>
      <c r="P813" s="63"/>
      <c r="Q813" s="63"/>
      <c r="R813" s="63"/>
      <c r="S813" s="63"/>
      <c r="T813" s="63"/>
      <c r="U813" s="63"/>
      <c r="V813" s="63"/>
      <c r="W813" s="636"/>
      <c r="X813" s="634"/>
      <c r="Y813" s="635"/>
      <c r="Z813" s="65"/>
    </row>
    <row r="814" ht="14.25" customHeight="1">
      <c r="B814" s="113"/>
      <c r="D814" s="118" t="s">
        <v>1641</v>
      </c>
      <c r="E814" s="118" t="s">
        <v>1171</v>
      </c>
      <c r="F814" s="118" t="s">
        <v>1642</v>
      </c>
      <c r="L814" s="61"/>
      <c r="M814" s="63"/>
      <c r="N814" s="63"/>
      <c r="O814" s="63"/>
      <c r="P814" s="63"/>
      <c r="Q814" s="63"/>
      <c r="R814" s="63"/>
      <c r="S814" s="63"/>
      <c r="T814" s="63"/>
      <c r="U814" s="63"/>
      <c r="V814" s="63"/>
      <c r="W814" s="636"/>
      <c r="X814" s="634"/>
      <c r="Y814" s="635"/>
      <c r="Z814" s="65"/>
    </row>
    <row r="815" ht="14.25" customHeight="1">
      <c r="B815" s="113"/>
      <c r="D815" s="118" t="s">
        <v>1643</v>
      </c>
      <c r="E815" s="118" t="s">
        <v>1173</v>
      </c>
      <c r="F815" s="118" t="s">
        <v>1644</v>
      </c>
      <c r="L815" s="61"/>
      <c r="M815" s="63"/>
      <c r="N815" s="63">
        <v>0.0</v>
      </c>
      <c r="O815" s="63">
        <v>0.0</v>
      </c>
      <c r="P815" s="63">
        <v>0.0</v>
      </c>
      <c r="Q815" s="63">
        <v>0.0</v>
      </c>
      <c r="R815" s="63"/>
      <c r="S815" s="63">
        <v>0.0</v>
      </c>
      <c r="T815" s="63">
        <v>0.0</v>
      </c>
      <c r="U815" s="63">
        <v>0.0</v>
      </c>
      <c r="V815" s="63">
        <v>0.0</v>
      </c>
      <c r="W815" s="636"/>
      <c r="X815" s="634"/>
      <c r="Y815" s="635"/>
      <c r="Z815" s="65"/>
    </row>
    <row r="816" ht="14.25" customHeight="1">
      <c r="B816" s="113"/>
      <c r="F816" s="118" t="s">
        <v>1645</v>
      </c>
      <c r="G816" s="118" t="s">
        <v>1646</v>
      </c>
      <c r="L816" s="61"/>
      <c r="M816" s="63"/>
      <c r="N816" s="63"/>
      <c r="O816" s="63"/>
      <c r="P816" s="63"/>
      <c r="Q816" s="63"/>
      <c r="R816" s="63"/>
      <c r="S816" s="63"/>
      <c r="T816" s="63"/>
      <c r="U816" s="63"/>
      <c r="V816" s="63"/>
      <c r="W816" s="636"/>
      <c r="X816" s="634"/>
      <c r="Y816" s="635"/>
      <c r="Z816" s="65"/>
    </row>
    <row r="817" ht="14.25" customHeight="1">
      <c r="B817" s="113"/>
      <c r="F817" s="118" t="s">
        <v>1647</v>
      </c>
      <c r="G817" s="118" t="s">
        <v>1214</v>
      </c>
      <c r="L817" s="61"/>
      <c r="M817" s="63"/>
      <c r="N817" s="63"/>
      <c r="O817" s="63"/>
      <c r="P817" s="63"/>
      <c r="Q817" s="63"/>
      <c r="R817" s="63"/>
      <c r="S817" s="63"/>
      <c r="T817" s="63"/>
      <c r="U817" s="63"/>
      <c r="V817" s="63"/>
      <c r="W817" s="636"/>
      <c r="X817" s="634"/>
      <c r="Y817" s="635"/>
      <c r="Z817" s="65"/>
    </row>
    <row r="818" ht="14.25" customHeight="1">
      <c r="B818" s="113"/>
      <c r="F818" s="118" t="s">
        <v>1648</v>
      </c>
      <c r="G818" s="118" t="s">
        <v>1649</v>
      </c>
      <c r="L818" s="61"/>
      <c r="M818" s="63"/>
      <c r="N818" s="63"/>
      <c r="O818" s="63"/>
      <c r="P818" s="63"/>
      <c r="Q818" s="63"/>
      <c r="R818" s="63"/>
      <c r="S818" s="63"/>
      <c r="T818" s="63"/>
      <c r="U818" s="63"/>
      <c r="V818" s="63"/>
      <c r="W818" s="636"/>
      <c r="X818" s="634"/>
      <c r="Y818" s="635"/>
      <c r="Z818" s="65"/>
    </row>
    <row r="819" ht="14.25" customHeight="1">
      <c r="B819" s="113"/>
      <c r="L819" s="61"/>
      <c r="M819" s="63"/>
      <c r="N819" s="63"/>
      <c r="O819" s="63"/>
      <c r="P819" s="63"/>
      <c r="Q819" s="63"/>
      <c r="R819" s="63"/>
      <c r="S819" s="63"/>
      <c r="T819" s="63"/>
      <c r="U819" s="63"/>
      <c r="V819" s="63"/>
      <c r="W819" s="636"/>
      <c r="X819" s="634"/>
      <c r="Y819" s="635"/>
      <c r="Z819" s="65"/>
    </row>
    <row r="820" ht="14.25" customHeight="1">
      <c r="B820" s="113"/>
      <c r="C820" s="118" t="s">
        <v>1175</v>
      </c>
      <c r="D820" s="118" t="s">
        <v>1650</v>
      </c>
      <c r="E820" s="118" t="s">
        <v>1277</v>
      </c>
      <c r="F820" s="118" t="s">
        <v>1651</v>
      </c>
      <c r="L820" s="61"/>
      <c r="M820" s="63"/>
      <c r="N820" s="63"/>
      <c r="O820" s="63"/>
      <c r="P820" s="63"/>
      <c r="Q820" s="63"/>
      <c r="R820" s="63"/>
      <c r="S820" s="63"/>
      <c r="T820" s="63"/>
      <c r="U820" s="63"/>
      <c r="V820" s="63"/>
      <c r="W820" s="636"/>
      <c r="X820" s="634"/>
      <c r="Y820" s="635"/>
      <c r="Z820" s="65"/>
    </row>
    <row r="821" ht="14.25" customHeight="1">
      <c r="B821" s="113"/>
      <c r="D821" s="118" t="s">
        <v>1652</v>
      </c>
      <c r="E821" s="118" t="s">
        <v>1279</v>
      </c>
      <c r="F821" s="118" t="s">
        <v>1653</v>
      </c>
      <c r="L821" s="61"/>
      <c r="M821" s="63"/>
      <c r="N821" s="63">
        <v>0.0</v>
      </c>
      <c r="O821" s="63">
        <v>0.0</v>
      </c>
      <c r="P821" s="63">
        <v>0.0</v>
      </c>
      <c r="Q821" s="63">
        <v>0.0</v>
      </c>
      <c r="R821" s="63"/>
      <c r="S821" s="63">
        <v>0.0</v>
      </c>
      <c r="T821" s="63">
        <v>0.0</v>
      </c>
      <c r="U821" s="63">
        <v>0.0</v>
      </c>
      <c r="V821" s="63">
        <v>0.0</v>
      </c>
      <c r="W821" s="636"/>
      <c r="X821" s="634"/>
      <c r="Y821" s="635"/>
      <c r="Z821" s="65"/>
    </row>
    <row r="822" ht="14.25" customHeight="1">
      <c r="B822" s="113"/>
      <c r="D822" s="118" t="s">
        <v>1654</v>
      </c>
      <c r="F822" s="118" t="s">
        <v>1655</v>
      </c>
      <c r="G822" s="118" t="s">
        <v>1656</v>
      </c>
      <c r="L822" s="61"/>
      <c r="M822" s="63"/>
      <c r="N822" s="63"/>
      <c r="O822" s="63"/>
      <c r="P822" s="63"/>
      <c r="Q822" s="63"/>
      <c r="R822" s="63"/>
      <c r="S822" s="63"/>
      <c r="T822" s="63"/>
      <c r="U822" s="63"/>
      <c r="V822" s="63"/>
      <c r="W822" s="636"/>
      <c r="X822" s="634"/>
      <c r="Y822" s="635"/>
      <c r="Z822" s="65"/>
    </row>
    <row r="823" ht="14.25" customHeight="1">
      <c r="B823" s="113"/>
      <c r="D823" s="118" t="s">
        <v>1657</v>
      </c>
      <c r="F823" s="118" t="s">
        <v>1658</v>
      </c>
      <c r="G823" s="118" t="s">
        <v>1659</v>
      </c>
      <c r="L823" s="61"/>
      <c r="M823" s="63"/>
      <c r="N823" s="63"/>
      <c r="O823" s="63"/>
      <c r="P823" s="63"/>
      <c r="Q823" s="63"/>
      <c r="R823" s="63"/>
      <c r="S823" s="63"/>
      <c r="T823" s="63"/>
      <c r="U823" s="63"/>
      <c r="V823" s="63"/>
      <c r="W823" s="636"/>
      <c r="X823" s="634"/>
      <c r="Y823" s="635"/>
      <c r="Z823" s="65"/>
    </row>
    <row r="824" ht="14.25" customHeight="1">
      <c r="B824" s="113"/>
      <c r="F824" s="118" t="s">
        <v>1660</v>
      </c>
      <c r="G824" s="118" t="s">
        <v>1661</v>
      </c>
      <c r="L824" s="61"/>
      <c r="M824" s="63"/>
      <c r="N824" s="63"/>
      <c r="O824" s="63"/>
      <c r="P824" s="63"/>
      <c r="Q824" s="63"/>
      <c r="R824" s="63"/>
      <c r="S824" s="63"/>
      <c r="T824" s="63"/>
      <c r="U824" s="63"/>
      <c r="V824" s="63"/>
      <c r="W824" s="636"/>
      <c r="X824" s="634"/>
      <c r="Y824" s="635"/>
      <c r="Z824" s="65"/>
    </row>
    <row r="825" ht="14.25" customHeight="1">
      <c r="B825" s="113"/>
      <c r="L825" s="61"/>
      <c r="M825" s="63"/>
      <c r="N825" s="63"/>
      <c r="O825" s="63"/>
      <c r="P825" s="63"/>
      <c r="Q825" s="63"/>
      <c r="R825" s="63"/>
      <c r="S825" s="63"/>
      <c r="T825" s="63"/>
      <c r="U825" s="63"/>
      <c r="V825" s="63"/>
      <c r="W825" s="636"/>
      <c r="X825" s="634"/>
      <c r="Y825" s="635"/>
      <c r="Z825" s="65"/>
    </row>
    <row r="826" ht="14.25" customHeight="1">
      <c r="B826" s="113"/>
      <c r="C826" s="118" t="s">
        <v>1326</v>
      </c>
      <c r="D826" s="118" t="s">
        <v>1662</v>
      </c>
      <c r="E826" s="118" t="s">
        <v>1663</v>
      </c>
      <c r="F826" s="118" t="s">
        <v>1077</v>
      </c>
      <c r="L826" s="61"/>
      <c r="M826" s="63"/>
      <c r="N826" s="63">
        <v>229959.0</v>
      </c>
      <c r="O826" s="63">
        <v>511707.0</v>
      </c>
      <c r="P826" s="63">
        <v>248058.0</v>
      </c>
      <c r="Q826" s="63">
        <v>195410.0</v>
      </c>
      <c r="R826" s="63"/>
      <c r="S826" s="63">
        <v>222957.0</v>
      </c>
      <c r="T826" s="63">
        <v>256391.0</v>
      </c>
      <c r="U826" s="63">
        <v>248058.0</v>
      </c>
      <c r="V826" s="63">
        <v>245321.0</v>
      </c>
      <c r="W826" s="636"/>
      <c r="X826" s="634"/>
      <c r="Y826" s="635"/>
      <c r="Z826" s="65"/>
    </row>
    <row r="827" ht="14.25" customHeight="1">
      <c r="B827" s="113"/>
      <c r="E827" s="118">
        <v>9.2</v>
      </c>
      <c r="F827" s="118" t="s">
        <v>1664</v>
      </c>
      <c r="L827" s="61"/>
      <c r="M827" s="63"/>
      <c r="N827" s="63">
        <v>353754.0</v>
      </c>
      <c r="O827" s="63">
        <v>803772.0</v>
      </c>
      <c r="P827" s="63">
        <v>400159.0</v>
      </c>
      <c r="Q827" s="63">
        <v>293115.0</v>
      </c>
      <c r="R827" s="63"/>
      <c r="S827" s="63">
        <v>343264.0</v>
      </c>
      <c r="T827" s="63">
        <v>354257.0</v>
      </c>
      <c r="U827" s="63">
        <v>360872.0</v>
      </c>
      <c r="V827" s="63">
        <v>376250.0</v>
      </c>
      <c r="W827" s="636"/>
      <c r="X827" s="634"/>
      <c r="Y827" s="635"/>
      <c r="Z827" s="65"/>
    </row>
    <row r="828" ht="14.25" customHeight="1">
      <c r="B828" s="113"/>
      <c r="E828" s="118" t="s">
        <v>1665</v>
      </c>
      <c r="F828" s="118" t="s">
        <v>1666</v>
      </c>
      <c r="L828" s="61"/>
      <c r="M828" s="63"/>
      <c r="N828" s="63">
        <v>428497.0</v>
      </c>
      <c r="O828" s="63">
        <v>1001896.0</v>
      </c>
      <c r="P828" s="63">
        <v>470900.0</v>
      </c>
      <c r="Q828" s="63">
        <v>351738.0</v>
      </c>
      <c r="R828" s="63"/>
      <c r="S828" s="63">
        <v>416129.0</v>
      </c>
      <c r="T828" s="63">
        <v>428192.0</v>
      </c>
      <c r="U828" s="63">
        <v>409849.0</v>
      </c>
      <c r="V828" s="63">
        <v>438365.0</v>
      </c>
      <c r="W828" s="636"/>
      <c r="X828" s="634"/>
      <c r="Y828" s="635"/>
      <c r="Z828" s="65"/>
    </row>
    <row r="829" ht="14.25" customHeight="1">
      <c r="B829" s="113"/>
      <c r="E829" s="118" t="s">
        <v>1667</v>
      </c>
      <c r="F829" s="118" t="s">
        <v>1668</v>
      </c>
      <c r="L829" s="61"/>
      <c r="M829" s="63"/>
      <c r="N829" s="63">
        <v>117944.0</v>
      </c>
      <c r="O829" s="63">
        <v>242558.0</v>
      </c>
      <c r="P829" s="63">
        <v>106610.0</v>
      </c>
      <c r="Q829" s="63">
        <v>97705.0</v>
      </c>
      <c r="R829" s="63"/>
      <c r="S829" s="63">
        <v>110161.0</v>
      </c>
      <c r="T829" s="63">
        <v>113201.0</v>
      </c>
      <c r="U829" s="63">
        <v>99530.0</v>
      </c>
      <c r="V829" s="63">
        <v>84066.0</v>
      </c>
      <c r="W829" s="636"/>
      <c r="X829" s="634"/>
      <c r="Y829" s="635"/>
      <c r="Z829" s="65"/>
    </row>
    <row r="830" ht="14.25" customHeight="1">
      <c r="B830" s="113"/>
      <c r="E830" s="118" t="s">
        <v>1669</v>
      </c>
      <c r="F830" s="118" t="s">
        <v>1670</v>
      </c>
      <c r="L830" s="61"/>
      <c r="M830" s="63"/>
      <c r="N830" s="63">
        <v>85.0</v>
      </c>
      <c r="O830" s="63">
        <v>244228.0</v>
      </c>
      <c r="P830" s="63">
        <v>803.0</v>
      </c>
      <c r="Q830" s="63"/>
      <c r="R830" s="63"/>
      <c r="S830" s="63">
        <v>69.0</v>
      </c>
      <c r="T830" s="63">
        <v>113698.0</v>
      </c>
      <c r="U830" s="63">
        <v>4452.0</v>
      </c>
      <c r="V830" s="63">
        <v>84362.0</v>
      </c>
      <c r="W830" s="636"/>
      <c r="X830" s="634"/>
      <c r="Y830" s="635"/>
      <c r="Z830" s="65"/>
    </row>
    <row r="831" ht="14.25" customHeight="1">
      <c r="B831" s="113"/>
      <c r="E831" s="118" t="s">
        <v>1671</v>
      </c>
      <c r="F831" s="118" t="s">
        <v>1672</v>
      </c>
      <c r="L831" s="61"/>
      <c r="M831" s="63"/>
      <c r="N831" s="63">
        <v>229959.0</v>
      </c>
      <c r="O831" s="63">
        <v>266404.0</v>
      </c>
      <c r="P831" s="63">
        <v>247606.0</v>
      </c>
      <c r="Q831" s="63">
        <v>236416.0</v>
      </c>
      <c r="R831" s="63"/>
      <c r="S831" s="63">
        <v>222957.0</v>
      </c>
      <c r="T831" s="63">
        <v>133202.0</v>
      </c>
      <c r="U831" s="63">
        <v>247606.0</v>
      </c>
      <c r="V831" s="63">
        <v>236416.0</v>
      </c>
      <c r="W831" s="636"/>
      <c r="X831" s="634"/>
      <c r="Y831" s="635"/>
      <c r="Z831" s="65"/>
    </row>
    <row r="832" ht="14.25" customHeight="1">
      <c r="B832" s="113"/>
      <c r="F832" s="118" t="s">
        <v>1673</v>
      </c>
      <c r="G832" s="118" t="s">
        <v>1674</v>
      </c>
      <c r="L832" s="61"/>
      <c r="M832" s="63"/>
      <c r="N832" s="63">
        <v>229959.0</v>
      </c>
      <c r="O832" s="63">
        <v>266404.0</v>
      </c>
      <c r="P832" s="63">
        <v>247606.0</v>
      </c>
      <c r="Q832" s="63">
        <v>236416.0</v>
      </c>
      <c r="R832" s="63"/>
      <c r="S832" s="63">
        <v>222957.0</v>
      </c>
      <c r="T832" s="63">
        <v>133202.0</v>
      </c>
      <c r="U832" s="63">
        <v>247606.0</v>
      </c>
      <c r="V832" s="63">
        <v>236416.0</v>
      </c>
      <c r="W832" s="636"/>
      <c r="X832" s="634"/>
      <c r="Y832" s="635"/>
      <c r="Z832" s="65"/>
    </row>
    <row r="833" ht="14.25" customHeight="1">
      <c r="B833" s="113"/>
      <c r="F833" s="118" t="s">
        <v>1675</v>
      </c>
      <c r="G833" s="118" t="s">
        <v>1676</v>
      </c>
      <c r="L833" s="61"/>
      <c r="M833" s="63"/>
      <c r="N833" s="63">
        <v>229959.0</v>
      </c>
      <c r="O833" s="63">
        <v>266404.0</v>
      </c>
      <c r="P833" s="63">
        <v>247606.0</v>
      </c>
      <c r="Q833" s="63">
        <v>236416.0</v>
      </c>
      <c r="R833" s="63"/>
      <c r="S833" s="63">
        <v>222957.0</v>
      </c>
      <c r="T833" s="63">
        <v>133202.0</v>
      </c>
      <c r="U833" s="63">
        <v>247606.0</v>
      </c>
      <c r="V833" s="63">
        <v>236416.0</v>
      </c>
      <c r="W833" s="636"/>
      <c r="X833" s="634"/>
      <c r="Y833" s="635"/>
      <c r="Z833" s="65"/>
    </row>
    <row r="834" ht="14.25" customHeight="1">
      <c r="B834" s="113"/>
      <c r="F834" s="118" t="s">
        <v>1677</v>
      </c>
      <c r="G834" s="118" t="s">
        <v>1678</v>
      </c>
      <c r="L834" s="61"/>
      <c r="M834" s="63"/>
      <c r="N834" s="63">
        <v>229959.0</v>
      </c>
      <c r="O834" s="63">
        <v>266404.0</v>
      </c>
      <c r="P834" s="63">
        <v>247606.0</v>
      </c>
      <c r="Q834" s="63">
        <v>236416.0</v>
      </c>
      <c r="R834" s="63"/>
      <c r="S834" s="63">
        <v>222957.0</v>
      </c>
      <c r="T834" s="63">
        <v>133202.0</v>
      </c>
      <c r="U834" s="63">
        <v>247606.0</v>
      </c>
      <c r="V834" s="63">
        <v>236416.0</v>
      </c>
      <c r="W834" s="636"/>
      <c r="X834" s="634"/>
      <c r="Y834" s="635"/>
      <c r="Z834" s="65"/>
    </row>
    <row r="835" ht="14.25" customHeight="1">
      <c r="B835" s="113"/>
      <c r="L835" s="61"/>
      <c r="M835" s="63"/>
      <c r="N835" s="63"/>
      <c r="O835" s="63"/>
      <c r="P835" s="63"/>
      <c r="Q835" s="63"/>
      <c r="R835" s="63"/>
      <c r="S835" s="63"/>
      <c r="T835" s="63"/>
      <c r="U835" s="63"/>
      <c r="V835" s="63"/>
      <c r="W835" s="636"/>
      <c r="X835" s="634"/>
      <c r="Y835" s="635"/>
      <c r="Z835" s="65"/>
    </row>
    <row r="836" ht="14.25" customHeight="1">
      <c r="B836" s="113" t="s">
        <v>1431</v>
      </c>
      <c r="C836" s="118" t="s">
        <v>1679</v>
      </c>
      <c r="L836" s="61"/>
      <c r="M836" s="63"/>
      <c r="N836" s="63"/>
      <c r="O836" s="63"/>
      <c r="P836" s="63"/>
      <c r="Q836" s="63"/>
      <c r="R836" s="63"/>
      <c r="S836" s="63"/>
      <c r="T836" s="63"/>
      <c r="U836" s="63"/>
      <c r="V836" s="63"/>
      <c r="W836" s="636"/>
      <c r="X836" s="634"/>
      <c r="Y836" s="635"/>
      <c r="Z836" s="65"/>
    </row>
    <row r="837" ht="14.25" customHeight="1">
      <c r="B837" s="113"/>
      <c r="L837" s="61"/>
      <c r="M837" s="63"/>
      <c r="N837" s="63"/>
      <c r="O837" s="63"/>
      <c r="P837" s="63"/>
      <c r="Q837" s="63"/>
      <c r="R837" s="63"/>
      <c r="S837" s="63"/>
      <c r="T837" s="63"/>
      <c r="U837" s="63"/>
      <c r="V837" s="63"/>
      <c r="W837" s="636"/>
      <c r="X837" s="634"/>
      <c r="Y837" s="635"/>
      <c r="Z837" s="65"/>
    </row>
    <row r="838" ht="14.25" customHeight="1">
      <c r="B838" s="113"/>
      <c r="C838" s="118" t="s">
        <v>866</v>
      </c>
      <c r="D838" s="118" t="s">
        <v>1680</v>
      </c>
      <c r="E838" s="118" t="s">
        <v>1129</v>
      </c>
      <c r="F838" s="118" t="s">
        <v>1681</v>
      </c>
      <c r="L838" s="61"/>
      <c r="M838" s="63"/>
      <c r="N838" s="63"/>
      <c r="O838" s="63"/>
      <c r="P838" s="63"/>
      <c r="Q838" s="63"/>
      <c r="R838" s="63"/>
      <c r="S838" s="63"/>
      <c r="T838" s="63"/>
      <c r="U838" s="63"/>
      <c r="V838" s="63"/>
      <c r="W838" s="636"/>
      <c r="X838" s="634"/>
      <c r="Y838" s="635"/>
      <c r="Z838" s="65"/>
    </row>
    <row r="839" ht="14.25" customHeight="1">
      <c r="B839" s="113"/>
      <c r="D839" s="118" t="s">
        <v>1682</v>
      </c>
      <c r="L839" s="61"/>
      <c r="M839" s="63"/>
      <c r="N839" s="63"/>
      <c r="O839" s="63"/>
      <c r="P839" s="63"/>
      <c r="Q839" s="63"/>
      <c r="R839" s="63"/>
      <c r="S839" s="63"/>
      <c r="T839" s="63"/>
      <c r="U839" s="63"/>
      <c r="V839" s="63"/>
      <c r="W839" s="636"/>
      <c r="X839" s="634"/>
      <c r="Y839" s="635"/>
      <c r="Z839" s="65"/>
    </row>
    <row r="840" ht="14.25" customHeight="1">
      <c r="B840" s="113"/>
      <c r="L840" s="61"/>
      <c r="M840" s="63"/>
      <c r="N840" s="63"/>
      <c r="O840" s="63"/>
      <c r="P840" s="63"/>
      <c r="Q840" s="63"/>
      <c r="R840" s="63"/>
      <c r="S840" s="63"/>
      <c r="T840" s="63"/>
      <c r="U840" s="63"/>
      <c r="V840" s="63"/>
      <c r="W840" s="636"/>
      <c r="X840" s="634"/>
      <c r="Y840" s="635"/>
      <c r="Z840" s="65"/>
    </row>
    <row r="841" ht="14.25" customHeight="1">
      <c r="B841" s="113"/>
      <c r="C841" s="118" t="s">
        <v>906</v>
      </c>
      <c r="D841" s="118" t="s">
        <v>1683</v>
      </c>
      <c r="E841" s="118" t="s">
        <v>1134</v>
      </c>
      <c r="F841" s="118" t="s">
        <v>1684</v>
      </c>
      <c r="L841" s="61"/>
      <c r="M841" s="63"/>
      <c r="N841" s="63"/>
      <c r="O841" s="63"/>
      <c r="P841" s="63"/>
      <c r="Q841" s="63"/>
      <c r="R841" s="63"/>
      <c r="S841" s="63"/>
      <c r="T841" s="63"/>
      <c r="U841" s="63"/>
      <c r="V841" s="63"/>
      <c r="W841" s="636"/>
      <c r="X841" s="634"/>
      <c r="Y841" s="635"/>
      <c r="Z841" s="65"/>
    </row>
    <row r="842" ht="14.25" customHeight="1">
      <c r="B842" s="113"/>
      <c r="E842" s="118" t="s">
        <v>1136</v>
      </c>
      <c r="F842" s="118" t="s">
        <v>1685</v>
      </c>
      <c r="L842" s="61"/>
      <c r="M842" s="63"/>
      <c r="N842" s="63"/>
      <c r="O842" s="63"/>
      <c r="P842" s="63"/>
      <c r="Q842" s="63"/>
      <c r="R842" s="63"/>
      <c r="S842" s="63"/>
      <c r="T842" s="63"/>
      <c r="U842" s="63"/>
      <c r="V842" s="63"/>
      <c r="W842" s="636"/>
      <c r="X842" s="634"/>
      <c r="Y842" s="635"/>
      <c r="Z842" s="65"/>
    </row>
    <row r="843" ht="14.25" customHeight="1">
      <c r="B843" s="113"/>
      <c r="L843" s="61"/>
      <c r="M843" s="63"/>
      <c r="N843" s="63"/>
      <c r="O843" s="63"/>
      <c r="P843" s="63"/>
      <c r="Q843" s="63"/>
      <c r="R843" s="63"/>
      <c r="S843" s="63"/>
      <c r="T843" s="63"/>
      <c r="U843" s="63"/>
      <c r="V843" s="63"/>
      <c r="W843" s="636"/>
      <c r="X843" s="634"/>
      <c r="Y843" s="635"/>
      <c r="Z843" s="65"/>
    </row>
    <row r="844" ht="14.25" customHeight="1">
      <c r="B844" s="113"/>
      <c r="C844" s="118" t="s">
        <v>924</v>
      </c>
      <c r="D844" s="118" t="s">
        <v>1686</v>
      </c>
      <c r="E844" s="118" t="s">
        <v>1139</v>
      </c>
      <c r="F844" s="118" t="s">
        <v>1687</v>
      </c>
      <c r="L844" s="61"/>
      <c r="M844" s="63"/>
      <c r="N844" s="63"/>
      <c r="O844" s="63"/>
      <c r="P844" s="63"/>
      <c r="Q844" s="63"/>
      <c r="R844" s="63"/>
      <c r="S844" s="63"/>
      <c r="T844" s="63"/>
      <c r="U844" s="63"/>
      <c r="V844" s="63"/>
      <c r="W844" s="636"/>
      <c r="X844" s="634"/>
      <c r="Y844" s="635"/>
      <c r="Z844" s="65"/>
    </row>
    <row r="845" ht="14.25" customHeight="1">
      <c r="B845" s="113"/>
      <c r="E845" s="118" t="s">
        <v>1141</v>
      </c>
      <c r="F845" s="118" t="s">
        <v>1688</v>
      </c>
      <c r="L845" s="61"/>
      <c r="M845" s="63"/>
      <c r="N845" s="63"/>
      <c r="O845" s="63"/>
      <c r="P845" s="63"/>
      <c r="Q845" s="63"/>
      <c r="R845" s="63"/>
      <c r="S845" s="63">
        <v>1205.0</v>
      </c>
      <c r="T845" s="63"/>
      <c r="U845" s="63"/>
      <c r="V845" s="63"/>
      <c r="W845" s="636"/>
      <c r="X845" s="634"/>
      <c r="Y845" s="635"/>
      <c r="Z845" s="65"/>
    </row>
    <row r="846" ht="14.25" customHeight="1">
      <c r="B846" s="113"/>
      <c r="E846" s="118">
        <v>3.3</v>
      </c>
      <c r="F846" s="118" t="s">
        <v>1689</v>
      </c>
      <c r="L846" s="61"/>
      <c r="M846" s="63"/>
      <c r="N846" s="63"/>
      <c r="O846" s="63"/>
      <c r="P846" s="63"/>
      <c r="Q846" s="63"/>
      <c r="R846" s="63"/>
      <c r="S846" s="63"/>
      <c r="T846" s="63"/>
      <c r="U846" s="63"/>
      <c r="V846" s="63"/>
      <c r="W846" s="636"/>
      <c r="X846" s="634"/>
      <c r="Y846" s="635"/>
      <c r="Z846" s="65"/>
    </row>
    <row r="847" ht="14.25" customHeight="1">
      <c r="B847" s="113"/>
      <c r="L847" s="61"/>
      <c r="M847" s="63"/>
      <c r="N847" s="63"/>
      <c r="O847" s="63"/>
      <c r="P847" s="63"/>
      <c r="Q847" s="63"/>
      <c r="R847" s="63"/>
      <c r="S847" s="63"/>
      <c r="T847" s="63"/>
      <c r="U847" s="63"/>
      <c r="V847" s="63"/>
      <c r="W847" s="636"/>
      <c r="X847" s="634"/>
      <c r="Y847" s="635"/>
      <c r="Z847" s="65"/>
    </row>
    <row r="848" ht="14.25" customHeight="1">
      <c r="B848" s="113"/>
      <c r="C848" s="118" t="s">
        <v>926</v>
      </c>
      <c r="D848" s="118" t="s">
        <v>1690</v>
      </c>
      <c r="E848" s="118" t="s">
        <v>1144</v>
      </c>
      <c r="F848" s="118" t="s">
        <v>1691</v>
      </c>
      <c r="L848" s="61"/>
      <c r="M848" s="63"/>
      <c r="N848" s="63"/>
      <c r="O848" s="63"/>
      <c r="P848" s="63"/>
      <c r="Q848" s="63"/>
      <c r="R848" s="63"/>
      <c r="S848" s="63"/>
      <c r="T848" s="63"/>
      <c r="U848" s="63"/>
      <c r="V848" s="63"/>
      <c r="W848" s="636"/>
      <c r="X848" s="634"/>
      <c r="Y848" s="635"/>
      <c r="Z848" s="65"/>
    </row>
    <row r="849" ht="14.25" customHeight="1">
      <c r="B849" s="243"/>
      <c r="C849" s="244"/>
      <c r="D849" s="244"/>
      <c r="E849" s="244" t="s">
        <v>1146</v>
      </c>
      <c r="F849" s="244" t="s">
        <v>1692</v>
      </c>
      <c r="G849" s="244"/>
      <c r="H849" s="244"/>
      <c r="I849" s="244"/>
      <c r="J849" s="244"/>
      <c r="K849" s="244"/>
      <c r="L849" s="248"/>
      <c r="M849" s="607"/>
      <c r="N849" s="607"/>
      <c r="O849" s="607"/>
      <c r="P849" s="607"/>
      <c r="Q849" s="607"/>
      <c r="R849" s="607"/>
      <c r="S849" s="607"/>
      <c r="T849" s="607"/>
      <c r="U849" s="607"/>
      <c r="V849" s="607"/>
      <c r="W849" s="640"/>
      <c r="X849" s="634"/>
      <c r="Y849" s="635"/>
      <c r="Z849" s="253"/>
    </row>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846">
    <mergeCell ref="X10:Y14"/>
    <mergeCell ref="X15:Y15"/>
    <mergeCell ref="B9:E9"/>
    <mergeCell ref="B10:L14"/>
    <mergeCell ref="M10:M14"/>
    <mergeCell ref="N10:R11"/>
    <mergeCell ref="S10:W11"/>
    <mergeCell ref="Z10:Z14"/>
    <mergeCell ref="B15:L15"/>
    <mergeCell ref="X1:Z1"/>
    <mergeCell ref="A2:Z2"/>
    <mergeCell ref="A3:Z3"/>
    <mergeCell ref="I5:M5"/>
    <mergeCell ref="I6:M6"/>
    <mergeCell ref="I7:M7"/>
    <mergeCell ref="I8:M8"/>
    <mergeCell ref="N12:N14"/>
    <mergeCell ref="O12:O14"/>
    <mergeCell ref="P12:P14"/>
    <mergeCell ref="Q12:Q14"/>
    <mergeCell ref="R12:R14"/>
    <mergeCell ref="S12:S14"/>
    <mergeCell ref="T12:T14"/>
    <mergeCell ref="U12:U14"/>
    <mergeCell ref="B16:L16"/>
    <mergeCell ref="X16:Y16"/>
    <mergeCell ref="V12:V14"/>
    <mergeCell ref="W12:W14"/>
    <mergeCell ref="X17:Y17"/>
    <mergeCell ref="X18:Y18"/>
    <mergeCell ref="X19:Y19"/>
    <mergeCell ref="X20:Y20"/>
    <mergeCell ref="X21:Y21"/>
    <mergeCell ref="X22:Y22"/>
    <mergeCell ref="X23:Y23"/>
    <mergeCell ref="X24:Y24"/>
    <mergeCell ref="X25:Y25"/>
    <mergeCell ref="X26:Y26"/>
    <mergeCell ref="X27:Y27"/>
    <mergeCell ref="X28:Y28"/>
    <mergeCell ref="X29:Y29"/>
    <mergeCell ref="X30:Y30"/>
    <mergeCell ref="X31:Y31"/>
    <mergeCell ref="X32:Y32"/>
    <mergeCell ref="X33:Y33"/>
    <mergeCell ref="X34:Y34"/>
    <mergeCell ref="X35:Y35"/>
    <mergeCell ref="X36:Y36"/>
    <mergeCell ref="X37:Y37"/>
    <mergeCell ref="X38:Y38"/>
    <mergeCell ref="X39:Y39"/>
    <mergeCell ref="X40:Y40"/>
    <mergeCell ref="X41:Y41"/>
    <mergeCell ref="X42:Y42"/>
    <mergeCell ref="X43:Y43"/>
    <mergeCell ref="X44:Y44"/>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96:Y96"/>
    <mergeCell ref="X97:Y97"/>
    <mergeCell ref="X98:Y98"/>
    <mergeCell ref="X99:Y99"/>
    <mergeCell ref="X100:Y100"/>
    <mergeCell ref="X101:Y101"/>
    <mergeCell ref="X102:Y102"/>
    <mergeCell ref="X103:Y103"/>
    <mergeCell ref="X104:Y104"/>
    <mergeCell ref="X105:Y105"/>
    <mergeCell ref="X106:Y106"/>
    <mergeCell ref="X107:Y107"/>
    <mergeCell ref="X108:Y108"/>
    <mergeCell ref="X109:Y109"/>
    <mergeCell ref="X110:Y110"/>
    <mergeCell ref="X111:Y111"/>
    <mergeCell ref="X112:Y112"/>
    <mergeCell ref="X113:Y113"/>
    <mergeCell ref="X114:Y114"/>
    <mergeCell ref="X115:Y115"/>
    <mergeCell ref="X116:Y116"/>
    <mergeCell ref="X117:Y117"/>
    <mergeCell ref="X118:Y118"/>
    <mergeCell ref="X119:Y119"/>
    <mergeCell ref="X120:Y120"/>
    <mergeCell ref="X121:Y121"/>
    <mergeCell ref="X122:Y122"/>
    <mergeCell ref="X123:Y123"/>
    <mergeCell ref="X124:Y124"/>
    <mergeCell ref="X125:Y125"/>
    <mergeCell ref="X126:Y126"/>
    <mergeCell ref="X127:Y127"/>
    <mergeCell ref="X128:Y128"/>
    <mergeCell ref="X129:Y129"/>
    <mergeCell ref="X130:Y130"/>
    <mergeCell ref="X131:Y131"/>
    <mergeCell ref="X132:Y132"/>
    <mergeCell ref="X133:Y133"/>
    <mergeCell ref="X134:Y134"/>
    <mergeCell ref="X135:Y135"/>
    <mergeCell ref="X136:Y136"/>
    <mergeCell ref="X137:Y137"/>
    <mergeCell ref="X138:Y138"/>
    <mergeCell ref="X139:Y139"/>
    <mergeCell ref="X140:Y140"/>
    <mergeCell ref="X141:Y141"/>
    <mergeCell ref="X142:Y142"/>
    <mergeCell ref="X143:Y143"/>
    <mergeCell ref="X144:Y144"/>
    <mergeCell ref="X145:Y145"/>
    <mergeCell ref="X146:Y146"/>
    <mergeCell ref="X147:Y147"/>
    <mergeCell ref="X148:Y148"/>
    <mergeCell ref="X149:Y149"/>
    <mergeCell ref="X150:Y150"/>
    <mergeCell ref="X151:Y151"/>
    <mergeCell ref="X152:Y152"/>
    <mergeCell ref="X153:Y153"/>
    <mergeCell ref="X154:Y154"/>
    <mergeCell ref="X155:Y155"/>
    <mergeCell ref="X156:Y156"/>
    <mergeCell ref="X157:Y157"/>
    <mergeCell ref="X158:Y158"/>
    <mergeCell ref="X159:Y159"/>
    <mergeCell ref="X160:Y160"/>
    <mergeCell ref="X161:Y161"/>
    <mergeCell ref="X162:Y162"/>
    <mergeCell ref="X163:Y163"/>
    <mergeCell ref="X164:Y164"/>
    <mergeCell ref="X165:Y165"/>
    <mergeCell ref="X166:Y166"/>
    <mergeCell ref="X167:Y167"/>
    <mergeCell ref="X168:Y168"/>
    <mergeCell ref="X169:Y169"/>
    <mergeCell ref="X170:Y170"/>
    <mergeCell ref="X171:Y171"/>
    <mergeCell ref="X172:Y172"/>
    <mergeCell ref="X173:Y173"/>
    <mergeCell ref="X174:Y174"/>
    <mergeCell ref="X175:Y175"/>
    <mergeCell ref="X176:Y176"/>
    <mergeCell ref="X177:Y177"/>
    <mergeCell ref="X178:Y178"/>
    <mergeCell ref="X179:Y179"/>
    <mergeCell ref="X180:Y180"/>
    <mergeCell ref="X181:Y181"/>
    <mergeCell ref="X182:Y182"/>
    <mergeCell ref="X183:Y183"/>
    <mergeCell ref="X184:Y184"/>
    <mergeCell ref="X185:Y185"/>
    <mergeCell ref="X186:Y186"/>
    <mergeCell ref="X187:Y187"/>
    <mergeCell ref="X188:Y188"/>
    <mergeCell ref="X189:Y189"/>
    <mergeCell ref="X190:Y190"/>
    <mergeCell ref="X191:Y191"/>
    <mergeCell ref="X192:Y192"/>
    <mergeCell ref="X193:Y193"/>
    <mergeCell ref="X194:Y194"/>
    <mergeCell ref="X195:Y195"/>
    <mergeCell ref="X196:Y196"/>
    <mergeCell ref="X197:Y197"/>
    <mergeCell ref="X198:Y198"/>
    <mergeCell ref="X199:Y199"/>
    <mergeCell ref="X200:Y200"/>
    <mergeCell ref="X201:Y201"/>
    <mergeCell ref="X202:Y202"/>
    <mergeCell ref="X203:Y203"/>
    <mergeCell ref="X204:Y204"/>
    <mergeCell ref="X205:Y205"/>
    <mergeCell ref="X206:Y206"/>
    <mergeCell ref="X207:Y207"/>
    <mergeCell ref="X208:Y208"/>
    <mergeCell ref="X209:Y209"/>
    <mergeCell ref="X210:Y210"/>
    <mergeCell ref="X211:Y211"/>
    <mergeCell ref="X212:Y212"/>
    <mergeCell ref="X213:Y213"/>
    <mergeCell ref="X214:Y214"/>
    <mergeCell ref="X215:Y215"/>
    <mergeCell ref="X216:Y216"/>
    <mergeCell ref="X217:Y217"/>
    <mergeCell ref="X218:Y218"/>
    <mergeCell ref="X219:Y219"/>
    <mergeCell ref="X220:Y220"/>
    <mergeCell ref="X221:Y221"/>
    <mergeCell ref="X222:Y222"/>
    <mergeCell ref="X223:Y223"/>
    <mergeCell ref="X224:Y224"/>
    <mergeCell ref="X225:Y225"/>
    <mergeCell ref="X226:Y226"/>
    <mergeCell ref="X227:Y227"/>
    <mergeCell ref="X228:Y228"/>
    <mergeCell ref="X229:Y229"/>
    <mergeCell ref="X230:Y230"/>
    <mergeCell ref="X231:Y231"/>
    <mergeCell ref="X232:Y232"/>
    <mergeCell ref="X233:Y233"/>
    <mergeCell ref="X234:Y234"/>
    <mergeCell ref="X235:Y235"/>
    <mergeCell ref="X236:Y236"/>
    <mergeCell ref="X237:Y237"/>
    <mergeCell ref="X238:Y238"/>
    <mergeCell ref="X239:Y239"/>
    <mergeCell ref="R240:R245"/>
    <mergeCell ref="X240:Y240"/>
    <mergeCell ref="X241:Y241"/>
    <mergeCell ref="X242:Y242"/>
    <mergeCell ref="X243:Y243"/>
    <mergeCell ref="X244:Y244"/>
    <mergeCell ref="X245:Y245"/>
    <mergeCell ref="X246:Y246"/>
    <mergeCell ref="X247:Y247"/>
    <mergeCell ref="X248:Y248"/>
    <mergeCell ref="X249:Y249"/>
    <mergeCell ref="X250:Y250"/>
    <mergeCell ref="X251:Y251"/>
    <mergeCell ref="X252:Y252"/>
    <mergeCell ref="X253:Y253"/>
    <mergeCell ref="X254:Y254"/>
    <mergeCell ref="X257:Y257"/>
    <mergeCell ref="X258:Y258"/>
    <mergeCell ref="X259:Y259"/>
    <mergeCell ref="X260:Y260"/>
    <mergeCell ref="X261:Y261"/>
    <mergeCell ref="X262:Y262"/>
    <mergeCell ref="X263:Y263"/>
    <mergeCell ref="X264:Y264"/>
    <mergeCell ref="X265:Y265"/>
    <mergeCell ref="X269:Y269"/>
    <mergeCell ref="X270:Y270"/>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821:Y821"/>
    <mergeCell ref="X822:Y822"/>
    <mergeCell ref="X823:Y823"/>
    <mergeCell ref="X824:Y824"/>
    <mergeCell ref="X825:Y825"/>
    <mergeCell ref="X826:Y826"/>
    <mergeCell ref="X827:Y827"/>
    <mergeCell ref="X828:Y828"/>
    <mergeCell ref="X829:Y829"/>
    <mergeCell ref="X830:Y830"/>
    <mergeCell ref="X831:Y831"/>
    <mergeCell ref="X832:Y832"/>
    <mergeCell ref="X833:Y833"/>
    <mergeCell ref="X834:Y834"/>
    <mergeCell ref="X842:Y842"/>
    <mergeCell ref="X843:Y843"/>
    <mergeCell ref="X844:Y844"/>
    <mergeCell ref="X845:Y845"/>
    <mergeCell ref="X846:Y846"/>
    <mergeCell ref="X847:Y847"/>
    <mergeCell ref="X848:Y848"/>
    <mergeCell ref="X849:Y849"/>
    <mergeCell ref="X835:Y835"/>
    <mergeCell ref="X836:Y836"/>
    <mergeCell ref="X837:Y837"/>
    <mergeCell ref="X838:Y838"/>
    <mergeCell ref="X839:Y839"/>
    <mergeCell ref="X840:Y840"/>
    <mergeCell ref="X841:Y841"/>
    <mergeCell ref="X772:Y772"/>
    <mergeCell ref="X773:Y773"/>
    <mergeCell ref="X774:Y774"/>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09:Y809"/>
    <mergeCell ref="X810:Y810"/>
    <mergeCell ref="X811:Y811"/>
    <mergeCell ref="X812:Y812"/>
    <mergeCell ref="X813:Y813"/>
    <mergeCell ref="X814:Y814"/>
    <mergeCell ref="X815:Y815"/>
    <mergeCell ref="X816:Y816"/>
    <mergeCell ref="X817:Y817"/>
    <mergeCell ref="X818:Y818"/>
    <mergeCell ref="X819:Y819"/>
    <mergeCell ref="X820:Y820"/>
    <mergeCell ref="X271:Y271"/>
    <mergeCell ref="X272:Y272"/>
    <mergeCell ref="X273:Y273"/>
    <mergeCell ref="X274:Y274"/>
    <mergeCell ref="X275:Y275"/>
    <mergeCell ref="X276:Y276"/>
    <mergeCell ref="X277:Y277"/>
    <mergeCell ref="X278:Y278"/>
    <mergeCell ref="X283:Y283"/>
    <mergeCell ref="X284:Y284"/>
    <mergeCell ref="X285:Y285"/>
    <mergeCell ref="X286:Y286"/>
    <mergeCell ref="X287:Y287"/>
    <mergeCell ref="X288:Y288"/>
    <mergeCell ref="X289:Y289"/>
    <mergeCell ref="X290:Y290"/>
    <mergeCell ref="X291:Y291"/>
    <mergeCell ref="X292:Y292"/>
    <mergeCell ref="X293:Y293"/>
    <mergeCell ref="X294:Y294"/>
    <mergeCell ref="X295:Y295"/>
    <mergeCell ref="X296:Y296"/>
    <mergeCell ref="X297:Y297"/>
    <mergeCell ref="X298:Y298"/>
    <mergeCell ref="X299:Y299"/>
    <mergeCell ref="X300:Y300"/>
    <mergeCell ref="X301:Y301"/>
    <mergeCell ref="X302:Y302"/>
    <mergeCell ref="X303:Y303"/>
    <mergeCell ref="X304:Y304"/>
    <mergeCell ref="X312:Y312"/>
    <mergeCell ref="X313:Y313"/>
    <mergeCell ref="X314:Y314"/>
    <mergeCell ref="X315:Y315"/>
    <mergeCell ref="X316:Y316"/>
    <mergeCell ref="X317:Y317"/>
    <mergeCell ref="X318:Y318"/>
    <mergeCell ref="X319:Y319"/>
    <mergeCell ref="X320:Y320"/>
    <mergeCell ref="X321:Y321"/>
    <mergeCell ref="X322:Y322"/>
    <mergeCell ref="X323:Y323"/>
    <mergeCell ref="X324:Y324"/>
    <mergeCell ref="X325:Y325"/>
    <mergeCell ref="X326:Y326"/>
    <mergeCell ref="X327:Y327"/>
    <mergeCell ref="X328:Y328"/>
    <mergeCell ref="X329:Y329"/>
    <mergeCell ref="X330:Y330"/>
    <mergeCell ref="X331:Y331"/>
    <mergeCell ref="X332:Y332"/>
    <mergeCell ref="X333:Y333"/>
    <mergeCell ref="X334:Y334"/>
    <mergeCell ref="X335:Y335"/>
    <mergeCell ref="X336:Y336"/>
    <mergeCell ref="X337:Y337"/>
    <mergeCell ref="X338:Y338"/>
    <mergeCell ref="X339:Y339"/>
    <mergeCell ref="X340:Y340"/>
    <mergeCell ref="X341:Y341"/>
    <mergeCell ref="X342:Y342"/>
    <mergeCell ref="X343:Y343"/>
    <mergeCell ref="X344:Y344"/>
    <mergeCell ref="X345:Y345"/>
    <mergeCell ref="X346:Y346"/>
    <mergeCell ref="X347:Y347"/>
    <mergeCell ref="X348:Y348"/>
    <mergeCell ref="X349:Y349"/>
    <mergeCell ref="X350:Y350"/>
    <mergeCell ref="X351:Y351"/>
    <mergeCell ref="X352:Y352"/>
    <mergeCell ref="X353:Y353"/>
    <mergeCell ref="X354:Y354"/>
    <mergeCell ref="X355:Y355"/>
    <mergeCell ref="X356:Y356"/>
    <mergeCell ref="X357:Y357"/>
    <mergeCell ref="X358:Y358"/>
    <mergeCell ref="X359:Y359"/>
    <mergeCell ref="X360:Y360"/>
    <mergeCell ref="X361:Y361"/>
    <mergeCell ref="X362:Y362"/>
    <mergeCell ref="X363:Y363"/>
    <mergeCell ref="X364:Y364"/>
    <mergeCell ref="X365:Y365"/>
    <mergeCell ref="X366:Y366"/>
    <mergeCell ref="X367:Y367"/>
    <mergeCell ref="X368:Y368"/>
    <mergeCell ref="X369:Y369"/>
    <mergeCell ref="X370:Y370"/>
    <mergeCell ref="X371:Y371"/>
    <mergeCell ref="X372:Y372"/>
    <mergeCell ref="X373:Y373"/>
    <mergeCell ref="X374:Y374"/>
    <mergeCell ref="X375:Y375"/>
    <mergeCell ref="X376:Y376"/>
    <mergeCell ref="X377:Y377"/>
    <mergeCell ref="X378:Y378"/>
    <mergeCell ref="X379:Y379"/>
    <mergeCell ref="X380:Y380"/>
    <mergeCell ref="X381:Y381"/>
    <mergeCell ref="X382:Y382"/>
    <mergeCell ref="X383:Y383"/>
    <mergeCell ref="X384:Y384"/>
    <mergeCell ref="X385:Y385"/>
    <mergeCell ref="X386:Y386"/>
    <mergeCell ref="X387:Y387"/>
    <mergeCell ref="X388:Y388"/>
    <mergeCell ref="X389:Y389"/>
    <mergeCell ref="X390:Y390"/>
    <mergeCell ref="X391:Y391"/>
    <mergeCell ref="X392:Y392"/>
    <mergeCell ref="X393:Y393"/>
    <mergeCell ref="X394:Y394"/>
    <mergeCell ref="X395:Y395"/>
    <mergeCell ref="X396:Y396"/>
    <mergeCell ref="X397:Y397"/>
    <mergeCell ref="X398:Y398"/>
    <mergeCell ref="X399:Y399"/>
    <mergeCell ref="X400:Y400"/>
    <mergeCell ref="X401:Y401"/>
    <mergeCell ref="X402:Y402"/>
    <mergeCell ref="X403:Y403"/>
    <mergeCell ref="X404:Y404"/>
    <mergeCell ref="X405:Y4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622:Y622"/>
    <mergeCell ref="X623:Y623"/>
    <mergeCell ref="X624:Y624"/>
  </mergeCells>
  <printOptions/>
  <pageMargins bottom="0.75" footer="0.0" header="0.0" left="0.7" right="0.7" top="0.75"/>
  <pageSetup orientation="portrait"/>
  <drawing r:id="rId2"/>
  <legacyDrawing r:id="rId3"/>
</worksheet>
</file>